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lubova\Desktop\"/>
    </mc:Choice>
  </mc:AlternateContent>
  <bookViews>
    <workbookView xWindow="0" yWindow="0" windowWidth="28800" windowHeight="12300" firstSheet="1" activeTab="1"/>
  </bookViews>
  <sheets>
    <sheet name="List1" sheetId="1" state="hidden" r:id="rId1"/>
    <sheet name="vyhodnocení 30.6.22" sheetId="2" r:id="rId2"/>
    <sheet name="vyhodnocení 30.6.22 včetně DPH" sheetId="3" r:id="rId3"/>
    <sheet name="Okna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3" l="1"/>
  <c r="H4" i="3"/>
  <c r="H13" i="3" l="1"/>
  <c r="G34" i="4"/>
  <c r="E34" i="4"/>
  <c r="G13" i="3"/>
  <c r="E17" i="4"/>
  <c r="E16" i="4"/>
  <c r="E15" i="4"/>
  <c r="E14" i="4"/>
  <c r="E13" i="4"/>
  <c r="E12" i="4"/>
  <c r="E11" i="4"/>
  <c r="E10" i="4"/>
  <c r="E7" i="4"/>
  <c r="E6" i="4"/>
  <c r="E5" i="4"/>
  <c r="E4" i="4"/>
  <c r="E3" i="4"/>
  <c r="E8" i="4"/>
  <c r="E33" i="4"/>
  <c r="E32" i="4"/>
  <c r="E31" i="4"/>
  <c r="E30" i="4"/>
  <c r="E29" i="4"/>
  <c r="G29" i="4" s="1"/>
  <c r="I29" i="4" s="1"/>
  <c r="H12" i="3" s="1"/>
  <c r="E28" i="4"/>
  <c r="E27" i="4"/>
  <c r="E26" i="4"/>
  <c r="E25" i="4"/>
  <c r="E24" i="4"/>
  <c r="E23" i="4"/>
  <c r="E22" i="4"/>
  <c r="E21" i="4"/>
  <c r="E20" i="4"/>
  <c r="E19" i="4"/>
  <c r="E18" i="4"/>
  <c r="E9" i="4"/>
  <c r="I34" i="4" l="1"/>
  <c r="G23" i="3" l="1"/>
  <c r="F23" i="3"/>
  <c r="C23" i="3"/>
  <c r="F22" i="3"/>
  <c r="C22" i="3"/>
  <c r="G22" i="3" s="1"/>
  <c r="G21" i="3"/>
  <c r="F21" i="3"/>
  <c r="G20" i="3"/>
  <c r="F20" i="3"/>
  <c r="G19" i="3"/>
  <c r="F19" i="3"/>
  <c r="G18" i="3"/>
  <c r="F18" i="3"/>
  <c r="G15" i="3"/>
  <c r="F15" i="3"/>
  <c r="C15" i="3"/>
  <c r="F14" i="3"/>
  <c r="C14" i="3"/>
  <c r="G14" i="3" s="1"/>
  <c r="F13" i="3"/>
  <c r="G12" i="3"/>
  <c r="F12" i="3"/>
  <c r="G11" i="3"/>
  <c r="F11" i="3"/>
  <c r="G10" i="3"/>
  <c r="F10" i="3"/>
  <c r="G7" i="3"/>
  <c r="F7" i="3"/>
  <c r="C7" i="3"/>
  <c r="F6" i="3"/>
  <c r="C6" i="3"/>
  <c r="G6" i="3" s="1"/>
  <c r="G5" i="3"/>
  <c r="F5" i="3"/>
  <c r="G4" i="3"/>
  <c r="F4" i="3"/>
  <c r="G3" i="3"/>
  <c r="F3" i="3"/>
  <c r="G2" i="3"/>
  <c r="F2" i="3"/>
  <c r="F8" i="3" s="1"/>
  <c r="H16" i="3" l="1"/>
  <c r="E28" i="3" s="1"/>
  <c r="G8" i="3"/>
  <c r="H8" i="3" s="1"/>
  <c r="C28" i="3" s="1"/>
  <c r="D28" i="3" s="1"/>
  <c r="D29" i="3" s="1"/>
  <c r="F24" i="3"/>
  <c r="F16" i="3"/>
  <c r="G24" i="3"/>
  <c r="G16" i="3"/>
  <c r="F28" i="3" s="1"/>
  <c r="F29" i="3" s="1"/>
  <c r="F23" i="2"/>
  <c r="F22" i="2"/>
  <c r="F21" i="2"/>
  <c r="F20" i="2"/>
  <c r="F19" i="2"/>
  <c r="F18" i="2"/>
  <c r="F15" i="2"/>
  <c r="F14" i="2"/>
  <c r="F11" i="2"/>
  <c r="F10" i="2"/>
  <c r="F7" i="2"/>
  <c r="F6" i="2"/>
  <c r="F5" i="2"/>
  <c r="F4" i="2"/>
  <c r="F3" i="2"/>
  <c r="F2" i="2"/>
  <c r="C23" i="2"/>
  <c r="G23" i="2" s="1"/>
  <c r="C22" i="2"/>
  <c r="G22" i="2" s="1"/>
  <c r="G21" i="2"/>
  <c r="G20" i="2"/>
  <c r="G19" i="2"/>
  <c r="H19" i="2" s="1"/>
  <c r="I19" i="2" s="1"/>
  <c r="G18" i="2"/>
  <c r="H18" i="2" s="1"/>
  <c r="I18" i="2" s="1"/>
  <c r="I20" i="2" s="1"/>
  <c r="C15" i="2"/>
  <c r="G15" i="2" s="1"/>
  <c r="C14" i="2"/>
  <c r="G14" i="2" s="1"/>
  <c r="G13" i="2"/>
  <c r="F13" i="2"/>
  <c r="G12" i="2"/>
  <c r="F12" i="2"/>
  <c r="G11" i="2"/>
  <c r="G10" i="2"/>
  <c r="C7" i="2"/>
  <c r="G7" i="2" s="1"/>
  <c r="C6" i="2"/>
  <c r="G6" i="2" s="1"/>
  <c r="G5" i="2"/>
  <c r="G4" i="2"/>
  <c r="G3" i="2"/>
  <c r="G2" i="2"/>
  <c r="G24" i="2" l="1"/>
  <c r="F8" i="2"/>
  <c r="F16" i="2"/>
  <c r="F24" i="2"/>
  <c r="G16" i="2"/>
  <c r="C28" i="2" s="1"/>
  <c r="G8" i="2"/>
  <c r="F22" i="1"/>
  <c r="F21" i="1"/>
  <c r="F20" i="1"/>
  <c r="F23" i="1"/>
  <c r="F19" i="1"/>
  <c r="F18" i="1"/>
  <c r="F11" i="1"/>
  <c r="F12" i="1"/>
  <c r="F13" i="1"/>
  <c r="F14" i="1"/>
  <c r="F15" i="1"/>
  <c r="F10" i="1"/>
  <c r="F3" i="1"/>
  <c r="F4" i="1"/>
  <c r="F5" i="1"/>
  <c r="F6" i="1"/>
  <c r="F7" i="1"/>
  <c r="F2" i="1"/>
  <c r="E28" i="2" l="1"/>
  <c r="D28" i="2"/>
  <c r="F28" i="2" s="1"/>
  <c r="F24" i="1"/>
  <c r="G24" i="1"/>
  <c r="G19" i="1"/>
  <c r="G20" i="1"/>
  <c r="G21" i="1"/>
  <c r="G22" i="1"/>
  <c r="G23" i="1"/>
  <c r="G18" i="1"/>
  <c r="G16" i="1"/>
  <c r="G11" i="1"/>
  <c r="G12" i="1"/>
  <c r="G13" i="1"/>
  <c r="G14" i="1"/>
  <c r="G15" i="1"/>
  <c r="G10" i="1"/>
  <c r="G8" i="1"/>
  <c r="G3" i="1"/>
  <c r="G4" i="1"/>
  <c r="G5" i="1"/>
  <c r="G6" i="1"/>
  <c r="G7" i="1"/>
  <c r="G2" i="1"/>
  <c r="F8" i="1"/>
  <c r="F16" i="1"/>
  <c r="C23" i="1"/>
  <c r="C22" i="1"/>
  <c r="C15" i="1"/>
  <c r="C14" i="1"/>
  <c r="C7" i="1"/>
  <c r="C6" i="1"/>
</calcChain>
</file>

<file path=xl/sharedStrings.xml><?xml version="1.0" encoding="utf-8"?>
<sst xmlns="http://schemas.openxmlformats.org/spreadsheetml/2006/main" count="180" uniqueCount="75">
  <si>
    <t>Denní úklid</t>
  </si>
  <si>
    <t>Týdenní úklid</t>
  </si>
  <si>
    <t>okna klubovna -měšíční</t>
  </si>
  <si>
    <t>okna ubytovna a kanceláře - 2xrok</t>
  </si>
  <si>
    <t>hala po a před zápasy</t>
  </si>
  <si>
    <t>ubytovna po odhlášení hostů</t>
  </si>
  <si>
    <t>četnost za rok</t>
  </si>
  <si>
    <t>cena za úklid</t>
  </si>
  <si>
    <t>hodnotící %</t>
  </si>
  <si>
    <t>roční cena za úklid</t>
  </si>
  <si>
    <t>AVE Services s.r.o.</t>
  </si>
  <si>
    <t>B+N Czech Republic Facility Services s.r.o.</t>
  </si>
  <si>
    <t>2 B Services s.r.o.</t>
  </si>
  <si>
    <t>bez DPH</t>
  </si>
  <si>
    <t>roční</t>
  </si>
  <si>
    <t>měsíční</t>
  </si>
  <si>
    <t>s DPH</t>
  </si>
  <si>
    <t>Umístění</t>
  </si>
  <si>
    <t>Rozměr okna v cm</t>
  </si>
  <si>
    <t>Poznámka</t>
  </si>
  <si>
    <t>Hala 1</t>
  </si>
  <si>
    <t>260 x 140</t>
  </si>
  <si>
    <t>boční dveře</t>
  </si>
  <si>
    <t>Hala 2</t>
  </si>
  <si>
    <t xml:space="preserve">240 x 140 </t>
  </si>
  <si>
    <t>Hlavní vstup</t>
  </si>
  <si>
    <t>180 x 270</t>
  </si>
  <si>
    <t>200 x 270</t>
  </si>
  <si>
    <t>2x</t>
  </si>
  <si>
    <t>540 x 270</t>
  </si>
  <si>
    <t>Kancelář recepce</t>
  </si>
  <si>
    <t>120 x 180</t>
  </si>
  <si>
    <t xml:space="preserve">Kancelář správce </t>
  </si>
  <si>
    <t>Foyer</t>
  </si>
  <si>
    <t>287 x 287</t>
  </si>
  <si>
    <t>287 x 243</t>
  </si>
  <si>
    <t>560 x 287</t>
  </si>
  <si>
    <t>200 x 287</t>
  </si>
  <si>
    <t>350 x 287</t>
  </si>
  <si>
    <t>565 x 287</t>
  </si>
  <si>
    <t>490 x 287</t>
  </si>
  <si>
    <t xml:space="preserve">Squash </t>
  </si>
  <si>
    <t>537 x 213</t>
  </si>
  <si>
    <t>Nářaďovna hala 2</t>
  </si>
  <si>
    <t>60 x 177</t>
  </si>
  <si>
    <t xml:space="preserve">Posilovna </t>
  </si>
  <si>
    <t>Masérna</t>
  </si>
  <si>
    <t>180 x 120</t>
  </si>
  <si>
    <t>Nářaďovna hala 1</t>
  </si>
  <si>
    <t>85 x 140</t>
  </si>
  <si>
    <t>Hala 1 exit</t>
  </si>
  <si>
    <t>130 x 130</t>
  </si>
  <si>
    <t>Schody z ubytovny</t>
  </si>
  <si>
    <t>155 x 270</t>
  </si>
  <si>
    <t>93 x 180</t>
  </si>
  <si>
    <t>290 x 180</t>
  </si>
  <si>
    <t>Ubytovna chodba</t>
  </si>
  <si>
    <t>120 x 390</t>
  </si>
  <si>
    <t>230 x 90</t>
  </si>
  <si>
    <t>300 x 120</t>
  </si>
  <si>
    <t>Klubovna</t>
  </si>
  <si>
    <t>Kancelář managera</t>
  </si>
  <si>
    <t>Pokoj 1, 2, 3, 4, 5</t>
  </si>
  <si>
    <t>9x</t>
  </si>
  <si>
    <t>Pokoj 6, 7, 8</t>
  </si>
  <si>
    <t>120 x 200</t>
  </si>
  <si>
    <t xml:space="preserve">6x </t>
  </si>
  <si>
    <t>Pokoj 9</t>
  </si>
  <si>
    <t>240 x 120</t>
  </si>
  <si>
    <t>konečný počet bodů</t>
  </si>
  <si>
    <t>18 mesicu</t>
  </si>
  <si>
    <t>s DPH B+N</t>
  </si>
  <si>
    <t>s DPH AVE</t>
  </si>
  <si>
    <t>měsiční</t>
  </si>
  <si>
    <t>18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</si>
</sst>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b/>
      <u/>
      <sz val="15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u/>
      <sz val="9"/>
      <name val="Arial"/>
      <family val="2"/>
      <charset val="238"/>
    </font>
    <font>
      <b/>
      <sz val="9"/>
      <name val="Arial"/>
      <family val="2"/>
      <charset val="238"/>
    </font>
    <font>
      <b/>
      <u/>
      <sz val="12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u val="singleAccounting"/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u val="singleAccounting"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u val="singleAccounting"/>
      <sz val="8"/>
      <color theme="1"/>
      <name val="Calibri"/>
      <family val="2"/>
      <charset val="238"/>
      <scheme val="minor"/>
    </font>
    <font>
      <u val="singleAccounting"/>
      <sz val="11"/>
      <color theme="1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u/>
      <sz val="11"/>
      <color rgb="FF7030A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Border="0" applyAlignment="0"/>
  </cellStyleXfs>
  <cellXfs count="9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6" fillId="0" borderId="0" xfId="0" applyFont="1"/>
    <xf numFmtId="0" fontId="0" fillId="0" borderId="1" xfId="0" applyBorder="1" applyAlignment="1">
      <alignment horizontal="center"/>
    </xf>
    <xf numFmtId="44" fontId="7" fillId="0" borderId="0" xfId="0" applyNumberFormat="1" applyFont="1" applyAlignment="1">
      <alignment horizontal="center"/>
    </xf>
    <xf numFmtId="44" fontId="7" fillId="0" borderId="0" xfId="0" applyNumberFormat="1" applyFont="1"/>
    <xf numFmtId="44" fontId="8" fillId="0" borderId="0" xfId="0" applyNumberFormat="1" applyFont="1"/>
    <xf numFmtId="0" fontId="8" fillId="0" borderId="0" xfId="0" applyFont="1"/>
    <xf numFmtId="44" fontId="9" fillId="0" borderId="0" xfId="0" applyNumberFormat="1" applyFont="1"/>
    <xf numFmtId="44" fontId="8" fillId="2" borderId="0" xfId="0" applyNumberFormat="1" applyFont="1" applyFill="1"/>
    <xf numFmtId="0" fontId="10" fillId="0" borderId="0" xfId="1"/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10" fillId="0" borderId="13" xfId="1" applyBorder="1" applyAlignment="1">
      <alignment horizontal="left" vertical="center"/>
    </xf>
    <xf numFmtId="0" fontId="10" fillId="0" borderId="14" xfId="1" applyBorder="1" applyAlignment="1">
      <alignment horizontal="center" vertical="center"/>
    </xf>
    <xf numFmtId="0" fontId="10" fillId="0" borderId="15" xfId="1" applyBorder="1" applyAlignment="1">
      <alignment horizontal="center" vertical="center"/>
    </xf>
    <xf numFmtId="0" fontId="10" fillId="0" borderId="16" xfId="1" applyBorder="1" applyAlignment="1">
      <alignment horizontal="left" vertical="center"/>
    </xf>
    <xf numFmtId="0" fontId="10" fillId="0" borderId="1" xfId="1" applyBorder="1" applyAlignment="1">
      <alignment horizontal="center" vertical="center"/>
    </xf>
    <xf numFmtId="0" fontId="10" fillId="0" borderId="17" xfId="1" applyBorder="1" applyAlignment="1">
      <alignment horizontal="center" vertical="center"/>
    </xf>
    <xf numFmtId="0" fontId="10" fillId="2" borderId="16" xfId="1" applyFill="1" applyBorder="1" applyAlignment="1">
      <alignment horizontal="left" vertical="center"/>
    </xf>
    <xf numFmtId="0" fontId="10" fillId="2" borderId="1" xfId="1" applyFill="1" applyBorder="1" applyAlignment="1">
      <alignment horizontal="center" vertical="center"/>
    </xf>
    <xf numFmtId="0" fontId="10" fillId="2" borderId="17" xfId="1" applyFill="1" applyBorder="1" applyAlignment="1">
      <alignment horizontal="center" vertical="center"/>
    </xf>
    <xf numFmtId="0" fontId="10" fillId="2" borderId="0" xfId="1" applyFill="1"/>
    <xf numFmtId="0" fontId="10" fillId="2" borderId="18" xfId="1" applyFill="1" applyBorder="1" applyAlignment="1">
      <alignment horizontal="left" vertical="center"/>
    </xf>
    <xf numFmtId="0" fontId="10" fillId="2" borderId="19" xfId="1" applyFill="1" applyBorder="1" applyAlignment="1">
      <alignment horizontal="center" vertical="center"/>
    </xf>
    <xf numFmtId="0" fontId="10" fillId="2" borderId="20" xfId="1" applyFill="1" applyBorder="1" applyAlignment="1">
      <alignment horizontal="center" vertical="center"/>
    </xf>
    <xf numFmtId="0" fontId="11" fillId="2" borderId="2" xfId="1" applyFont="1" applyFill="1" applyBorder="1"/>
    <xf numFmtId="0" fontId="10" fillId="3" borderId="16" xfId="1" applyFill="1" applyBorder="1" applyAlignment="1">
      <alignment horizontal="left" vertical="center"/>
    </xf>
    <xf numFmtId="0" fontId="10" fillId="3" borderId="1" xfId="1" applyFill="1" applyBorder="1" applyAlignment="1">
      <alignment horizontal="center" vertical="center"/>
    </xf>
    <xf numFmtId="0" fontId="10" fillId="3" borderId="17" xfId="1" applyFill="1" applyBorder="1" applyAlignment="1">
      <alignment horizontal="center" vertical="center"/>
    </xf>
    <xf numFmtId="0" fontId="10" fillId="3" borderId="0" xfId="1" applyFill="1"/>
    <xf numFmtId="0" fontId="10" fillId="4" borderId="16" xfId="1" applyFill="1" applyBorder="1" applyAlignment="1">
      <alignment horizontal="left" vertical="center"/>
    </xf>
    <xf numFmtId="0" fontId="10" fillId="4" borderId="1" xfId="1" applyFill="1" applyBorder="1" applyAlignment="1">
      <alignment horizontal="center" vertical="center"/>
    </xf>
    <xf numFmtId="0" fontId="10" fillId="4" borderId="17" xfId="1" applyFill="1" applyBorder="1" applyAlignment="1">
      <alignment horizontal="center" vertical="center"/>
    </xf>
    <xf numFmtId="0" fontId="10" fillId="4" borderId="0" xfId="1" applyFill="1"/>
    <xf numFmtId="0" fontId="12" fillId="4" borderId="0" xfId="1" applyFont="1" applyFill="1"/>
    <xf numFmtId="0" fontId="13" fillId="4" borderId="2" xfId="1" applyFont="1" applyFill="1" applyBorder="1"/>
    <xf numFmtId="0" fontId="13" fillId="2" borderId="0" xfId="1" applyFont="1" applyFill="1"/>
    <xf numFmtId="44" fontId="14" fillId="0" borderId="0" xfId="0" applyNumberFormat="1" applyFont="1"/>
    <xf numFmtId="44" fontId="15" fillId="0" borderId="0" xfId="0" applyNumberFormat="1" applyFont="1"/>
    <xf numFmtId="0" fontId="2" fillId="0" borderId="21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16" xfId="0" applyFont="1" applyBorder="1"/>
    <xf numFmtId="0" fontId="1" fillId="0" borderId="8" xfId="0" applyFont="1" applyBorder="1" applyAlignment="1">
      <alignment horizontal="center"/>
    </xf>
    <xf numFmtId="0" fontId="16" fillId="0" borderId="20" xfId="0" applyFont="1" applyBorder="1"/>
    <xf numFmtId="0" fontId="1" fillId="0" borderId="26" xfId="0" applyFont="1" applyBorder="1" applyAlignment="1">
      <alignment horizontal="center"/>
    </xf>
    <xf numFmtId="2" fontId="9" fillId="0" borderId="20" xfId="0" applyNumberFormat="1" applyFont="1" applyBorder="1"/>
    <xf numFmtId="44" fontId="17" fillId="0" borderId="0" xfId="0" applyNumberFormat="1" applyFont="1"/>
    <xf numFmtId="44" fontId="18" fillId="0" borderId="0" xfId="0" applyNumberFormat="1" applyFont="1"/>
    <xf numFmtId="44" fontId="14" fillId="0" borderId="0" xfId="0" applyNumberFormat="1" applyFont="1" applyAlignment="1">
      <alignment horizontal="center"/>
    </xf>
    <xf numFmtId="44" fontId="18" fillId="0" borderId="0" xfId="0" applyNumberFormat="1" applyFont="1" applyAlignment="1">
      <alignment horizontal="center"/>
    </xf>
    <xf numFmtId="44" fontId="19" fillId="5" borderId="0" xfId="0" applyNumberFormat="1" applyFont="1" applyFill="1" applyAlignment="1">
      <alignment horizontal="center"/>
    </xf>
    <xf numFmtId="44" fontId="20" fillId="5" borderId="0" xfId="0" applyNumberFormat="1" applyFont="1" applyFill="1"/>
    <xf numFmtId="0" fontId="0" fillId="0" borderId="0" xfId="0" applyBorder="1"/>
    <xf numFmtId="0" fontId="3" fillId="0" borderId="0" xfId="0" applyFont="1" applyBorder="1" applyAlignment="1">
      <alignment horizontal="center"/>
    </xf>
    <xf numFmtId="0" fontId="21" fillId="0" borderId="0" xfId="0" applyFont="1"/>
    <xf numFmtId="0" fontId="22" fillId="0" borderId="0" xfId="0" applyFont="1"/>
    <xf numFmtId="0" fontId="3" fillId="0" borderId="0" xfId="0" applyFont="1"/>
    <xf numFmtId="0" fontId="21" fillId="0" borderId="0" xfId="0" applyFont="1" applyFill="1"/>
    <xf numFmtId="0" fontId="0" fillId="0" borderId="0" xfId="0" applyFill="1"/>
    <xf numFmtId="0" fontId="22" fillId="0" borderId="0" xfId="0" applyFont="1" applyFill="1"/>
    <xf numFmtId="0" fontId="3" fillId="0" borderId="0" xfId="0" applyFont="1" applyFill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22" xfId="0" applyFont="1" applyBorder="1" applyAlignment="1"/>
    <xf numFmtId="0" fontId="2" fillId="0" borderId="23" xfId="0" applyFont="1" applyBorder="1" applyAlignment="1"/>
    <xf numFmtId="0" fontId="5" fillId="0" borderId="2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J33" sqref="J32:J33"/>
    </sheetView>
  </sheetViews>
  <sheetFormatPr defaultRowHeight="15" x14ac:dyDescent="0.25"/>
  <cols>
    <col min="1" max="1" width="5.7109375" style="9" customWidth="1"/>
    <col min="2" max="2" width="30.7109375" customWidth="1"/>
    <col min="3" max="4" width="13.7109375" style="1" customWidth="1"/>
    <col min="5" max="5" width="13.7109375" customWidth="1"/>
    <col min="6" max="6" width="18.7109375" customWidth="1"/>
    <col min="7" max="7" width="11.85546875" bestFit="1" customWidth="1"/>
  </cols>
  <sheetData>
    <row r="1" spans="1:7" ht="15.75" thickBot="1" x14ac:dyDescent="0.3">
      <c r="A1" s="10"/>
      <c r="B1" s="2"/>
      <c r="C1" s="8" t="s">
        <v>6</v>
      </c>
      <c r="D1" s="11" t="s">
        <v>7</v>
      </c>
      <c r="E1" s="8" t="s">
        <v>8</v>
      </c>
      <c r="F1" s="13" t="s">
        <v>9</v>
      </c>
    </row>
    <row r="2" spans="1:7" x14ac:dyDescent="0.25">
      <c r="A2" s="10">
        <v>1</v>
      </c>
      <c r="B2" s="2" t="s">
        <v>0</v>
      </c>
      <c r="C2" s="8">
        <v>365</v>
      </c>
      <c r="D2" s="11">
        <v>100</v>
      </c>
      <c r="E2" s="8">
        <v>50</v>
      </c>
      <c r="F2" s="14">
        <f>D2/D2*E2</f>
        <v>50</v>
      </c>
      <c r="G2">
        <f>C2*D2</f>
        <v>36500</v>
      </c>
    </row>
    <row r="3" spans="1:7" x14ac:dyDescent="0.25">
      <c r="A3" s="10">
        <v>2</v>
      </c>
      <c r="B3" s="2" t="s">
        <v>1</v>
      </c>
      <c r="C3" s="8">
        <v>52</v>
      </c>
      <c r="D3" s="11">
        <v>30</v>
      </c>
      <c r="E3" s="8">
        <v>20</v>
      </c>
      <c r="F3" s="14">
        <f t="shared" ref="F3:F7" si="0">D3/D3*E3</f>
        <v>20</v>
      </c>
      <c r="G3">
        <f t="shared" ref="G3:G7" si="1">C3*D3</f>
        <v>1560</v>
      </c>
    </row>
    <row r="4" spans="1:7" x14ac:dyDescent="0.25">
      <c r="A4" s="10">
        <v>3</v>
      </c>
      <c r="B4" s="2" t="s">
        <v>2</v>
      </c>
      <c r="C4" s="8">
        <v>12</v>
      </c>
      <c r="D4" s="6">
        <v>25</v>
      </c>
      <c r="E4" s="8">
        <v>3</v>
      </c>
      <c r="F4" s="14">
        <f t="shared" si="0"/>
        <v>3</v>
      </c>
      <c r="G4">
        <f t="shared" si="1"/>
        <v>300</v>
      </c>
    </row>
    <row r="5" spans="1:7" x14ac:dyDescent="0.25">
      <c r="A5" s="10">
        <v>4</v>
      </c>
      <c r="B5" s="2" t="s">
        <v>3</v>
      </c>
      <c r="C5" s="8">
        <v>2</v>
      </c>
      <c r="D5" s="6">
        <v>1200</v>
      </c>
      <c r="E5" s="8">
        <v>10</v>
      </c>
      <c r="F5" s="14">
        <f t="shared" si="0"/>
        <v>10</v>
      </c>
      <c r="G5">
        <f t="shared" si="1"/>
        <v>2400</v>
      </c>
    </row>
    <row r="6" spans="1:7" x14ac:dyDescent="0.25">
      <c r="A6" s="10">
        <v>5</v>
      </c>
      <c r="B6" s="2" t="s">
        <v>4</v>
      </c>
      <c r="C6" s="8">
        <f>2*12</f>
        <v>24</v>
      </c>
      <c r="D6" s="6">
        <v>150</v>
      </c>
      <c r="E6" s="8">
        <v>7</v>
      </c>
      <c r="F6" s="14">
        <f t="shared" si="0"/>
        <v>7</v>
      </c>
      <c r="G6">
        <f t="shared" si="1"/>
        <v>3600</v>
      </c>
    </row>
    <row r="7" spans="1:7" x14ac:dyDescent="0.25">
      <c r="A7" s="10">
        <v>6</v>
      </c>
      <c r="B7" s="2" t="s">
        <v>5</v>
      </c>
      <c r="C7" s="8">
        <f>2*12</f>
        <v>24</v>
      </c>
      <c r="D7" s="6">
        <v>150</v>
      </c>
      <c r="E7" s="8">
        <v>10</v>
      </c>
      <c r="F7" s="14">
        <f t="shared" si="0"/>
        <v>10</v>
      </c>
      <c r="G7">
        <f t="shared" si="1"/>
        <v>3600</v>
      </c>
    </row>
    <row r="8" spans="1:7" ht="15.75" thickBot="1" x14ac:dyDescent="0.3">
      <c r="F8">
        <f>F2+F3+F4+F5+F6+F7</f>
        <v>100</v>
      </c>
      <c r="G8">
        <f>G2+G3+G4+G5+G6+G7</f>
        <v>47960</v>
      </c>
    </row>
    <row r="9" spans="1:7" ht="15.75" thickBot="1" x14ac:dyDescent="0.3">
      <c r="C9" s="3" t="s">
        <v>6</v>
      </c>
      <c r="D9" s="4" t="s">
        <v>7</v>
      </c>
      <c r="E9" s="3" t="s">
        <v>8</v>
      </c>
      <c r="F9" s="4" t="s">
        <v>9</v>
      </c>
    </row>
    <row r="10" spans="1:7" x14ac:dyDescent="0.25">
      <c r="A10" s="10">
        <v>1</v>
      </c>
      <c r="B10" s="2" t="s">
        <v>0</v>
      </c>
      <c r="C10" s="7">
        <v>365</v>
      </c>
      <c r="D10" s="5">
        <v>150</v>
      </c>
      <c r="E10" s="7">
        <v>50</v>
      </c>
      <c r="F10" s="5">
        <f>D2/D10*E10</f>
        <v>33.333333333333329</v>
      </c>
      <c r="G10">
        <f>C10*D10</f>
        <v>54750</v>
      </c>
    </row>
    <row r="11" spans="1:7" x14ac:dyDescent="0.25">
      <c r="A11" s="10">
        <v>2</v>
      </c>
      <c r="B11" s="2" t="s">
        <v>1</v>
      </c>
      <c r="C11" s="8">
        <v>52</v>
      </c>
      <c r="D11" s="6">
        <v>35</v>
      </c>
      <c r="E11" s="8">
        <v>20</v>
      </c>
      <c r="F11" s="5">
        <f t="shared" ref="F11:F15" si="2">D3/D11*E11</f>
        <v>17.142857142857142</v>
      </c>
      <c r="G11">
        <f t="shared" ref="G11:G15" si="3">C11*D11</f>
        <v>1820</v>
      </c>
    </row>
    <row r="12" spans="1:7" x14ac:dyDescent="0.25">
      <c r="A12" s="10">
        <v>3</v>
      </c>
      <c r="B12" s="2" t="s">
        <v>2</v>
      </c>
      <c r="C12" s="8">
        <v>12</v>
      </c>
      <c r="D12" s="11">
        <v>10</v>
      </c>
      <c r="E12" s="8">
        <v>3</v>
      </c>
      <c r="F12" s="5">
        <f t="shared" si="2"/>
        <v>7.5</v>
      </c>
      <c r="G12">
        <f t="shared" si="3"/>
        <v>120</v>
      </c>
    </row>
    <row r="13" spans="1:7" x14ac:dyDescent="0.25">
      <c r="A13" s="10">
        <v>4</v>
      </c>
      <c r="B13" s="2" t="s">
        <v>3</v>
      </c>
      <c r="C13" s="8">
        <v>2</v>
      </c>
      <c r="D13" s="6">
        <v>1000</v>
      </c>
      <c r="E13" s="8">
        <v>10</v>
      </c>
      <c r="F13" s="5">
        <f t="shared" si="2"/>
        <v>12</v>
      </c>
      <c r="G13">
        <f t="shared" si="3"/>
        <v>2000</v>
      </c>
    </row>
    <row r="14" spans="1:7" x14ac:dyDescent="0.25">
      <c r="A14" s="10">
        <v>5</v>
      </c>
      <c r="B14" s="2" t="s">
        <v>4</v>
      </c>
      <c r="C14" s="8">
        <f>2*12</f>
        <v>24</v>
      </c>
      <c r="D14" s="11">
        <v>125</v>
      </c>
      <c r="E14" s="8">
        <v>7</v>
      </c>
      <c r="F14" s="5">
        <f t="shared" si="2"/>
        <v>8.4</v>
      </c>
      <c r="G14">
        <f t="shared" si="3"/>
        <v>3000</v>
      </c>
    </row>
    <row r="15" spans="1:7" x14ac:dyDescent="0.25">
      <c r="A15" s="10">
        <v>6</v>
      </c>
      <c r="B15" s="2" t="s">
        <v>5</v>
      </c>
      <c r="C15" s="8">
        <f>2*12</f>
        <v>24</v>
      </c>
      <c r="D15" s="11">
        <v>125</v>
      </c>
      <c r="E15" s="8">
        <v>10</v>
      </c>
      <c r="F15" s="5">
        <f t="shared" si="2"/>
        <v>12</v>
      </c>
      <c r="G15">
        <f t="shared" si="3"/>
        <v>3000</v>
      </c>
    </row>
    <row r="16" spans="1:7" ht="15.75" thickBot="1" x14ac:dyDescent="0.3">
      <c r="F16">
        <f>F10+F11+F12+F13+F14+F15</f>
        <v>90.376190476190473</v>
      </c>
      <c r="G16">
        <f>G10+G11+G12+G13+G14+G15</f>
        <v>64690</v>
      </c>
    </row>
    <row r="17" spans="1:7" ht="15.75" thickBot="1" x14ac:dyDescent="0.3">
      <c r="C17" s="3" t="s">
        <v>6</v>
      </c>
      <c r="D17" s="4" t="s">
        <v>7</v>
      </c>
      <c r="E17" s="3" t="s">
        <v>8</v>
      </c>
      <c r="F17" s="4" t="s">
        <v>9</v>
      </c>
    </row>
    <row r="18" spans="1:7" x14ac:dyDescent="0.25">
      <c r="A18" s="10">
        <v>1</v>
      </c>
      <c r="B18" s="2" t="s">
        <v>0</v>
      </c>
      <c r="C18" s="7">
        <v>365</v>
      </c>
      <c r="D18" s="5">
        <v>100</v>
      </c>
      <c r="E18" s="7">
        <v>50</v>
      </c>
      <c r="F18" s="5">
        <f>D18/D18*50</f>
        <v>50</v>
      </c>
      <c r="G18">
        <f>C18*D18</f>
        <v>36500</v>
      </c>
    </row>
    <row r="19" spans="1:7" x14ac:dyDescent="0.25">
      <c r="A19" s="10">
        <v>2</v>
      </c>
      <c r="B19" s="2" t="s">
        <v>1</v>
      </c>
      <c r="C19" s="8">
        <v>52</v>
      </c>
      <c r="D19" s="6">
        <v>80</v>
      </c>
      <c r="E19" s="8">
        <v>20</v>
      </c>
      <c r="F19" s="5">
        <f>D3/D19*E19</f>
        <v>7.5</v>
      </c>
      <c r="G19">
        <f t="shared" ref="G19:G23" si="4">C19*D19</f>
        <v>4160</v>
      </c>
    </row>
    <row r="20" spans="1:7" x14ac:dyDescent="0.25">
      <c r="A20" s="10">
        <v>3</v>
      </c>
      <c r="B20" s="2" t="s">
        <v>2</v>
      </c>
      <c r="C20" s="8">
        <v>12</v>
      </c>
      <c r="D20" s="6">
        <v>50</v>
      </c>
      <c r="E20" s="8">
        <v>3</v>
      </c>
      <c r="F20" s="5">
        <f>D3/D20*E20</f>
        <v>1.7999999999999998</v>
      </c>
      <c r="G20">
        <f t="shared" si="4"/>
        <v>600</v>
      </c>
    </row>
    <row r="21" spans="1:7" x14ac:dyDescent="0.25">
      <c r="A21" s="10">
        <v>4</v>
      </c>
      <c r="B21" s="2" t="s">
        <v>3</v>
      </c>
      <c r="C21" s="8">
        <v>2</v>
      </c>
      <c r="D21" s="11">
        <v>800</v>
      </c>
      <c r="E21" s="8">
        <v>10</v>
      </c>
      <c r="F21" s="5">
        <f>D21/D21*E21</f>
        <v>10</v>
      </c>
      <c r="G21">
        <f t="shared" si="4"/>
        <v>1600</v>
      </c>
    </row>
    <row r="22" spans="1:7" x14ac:dyDescent="0.25">
      <c r="A22" s="10">
        <v>5</v>
      </c>
      <c r="B22" s="2" t="s">
        <v>4</v>
      </c>
      <c r="C22" s="8">
        <f>2*12</f>
        <v>24</v>
      </c>
      <c r="D22" s="6">
        <v>130</v>
      </c>
      <c r="E22" s="8">
        <v>7</v>
      </c>
      <c r="F22" s="5">
        <f>D14/D22*E22</f>
        <v>6.7307692307692308</v>
      </c>
      <c r="G22">
        <f t="shared" si="4"/>
        <v>3120</v>
      </c>
    </row>
    <row r="23" spans="1:7" x14ac:dyDescent="0.25">
      <c r="A23" s="10">
        <v>6</v>
      </c>
      <c r="B23" s="2" t="s">
        <v>5</v>
      </c>
      <c r="C23" s="8">
        <f>2*12</f>
        <v>24</v>
      </c>
      <c r="D23" s="6">
        <v>130</v>
      </c>
      <c r="E23" s="8">
        <v>10</v>
      </c>
      <c r="F23" s="5">
        <f t="shared" ref="F23" si="5">D7/D23*E23</f>
        <v>11.538461538461537</v>
      </c>
      <c r="G23">
        <f t="shared" si="4"/>
        <v>3120</v>
      </c>
    </row>
    <row r="24" spans="1:7" x14ac:dyDescent="0.25">
      <c r="F24" s="12">
        <f>F18+F19+F20+F21+F22+F23</f>
        <v>87.569230769230757</v>
      </c>
      <c r="G24">
        <f>G18+G19+G20+G21+G22+G23</f>
        <v>49100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workbookViewId="0">
      <selection activeCell="B32" sqref="B32"/>
    </sheetView>
  </sheetViews>
  <sheetFormatPr defaultRowHeight="15" x14ac:dyDescent="0.25"/>
  <cols>
    <col min="1" max="1" width="5.7109375" style="9" customWidth="1"/>
    <col min="2" max="2" width="30.7109375" customWidth="1"/>
    <col min="3" max="4" width="13.7109375" style="1" customWidth="1"/>
    <col min="5" max="5" width="13.7109375" customWidth="1"/>
    <col min="6" max="6" width="18.7109375" customWidth="1"/>
    <col min="7" max="7" width="17" customWidth="1"/>
  </cols>
  <sheetData>
    <row r="1" spans="1:13" ht="15.75" thickBot="1" x14ac:dyDescent="0.3">
      <c r="A1" s="80" t="s">
        <v>10</v>
      </c>
      <c r="B1" s="81"/>
      <c r="C1" s="8" t="s">
        <v>6</v>
      </c>
      <c r="D1" s="11" t="s">
        <v>7</v>
      </c>
      <c r="E1" s="8" t="s">
        <v>8</v>
      </c>
      <c r="F1" s="13" t="s">
        <v>9</v>
      </c>
    </row>
    <row r="2" spans="1:13" x14ac:dyDescent="0.25">
      <c r="A2" s="10">
        <v>1</v>
      </c>
      <c r="B2" s="2" t="s">
        <v>0</v>
      </c>
      <c r="C2" s="8">
        <v>365</v>
      </c>
      <c r="D2" s="11">
        <v>2000</v>
      </c>
      <c r="E2" s="8">
        <v>50</v>
      </c>
      <c r="F2" s="14">
        <f>D2/D2*E2</f>
        <v>50</v>
      </c>
      <c r="G2">
        <f>C2*D2</f>
        <v>730000</v>
      </c>
    </row>
    <row r="3" spans="1:13" x14ac:dyDescent="0.25">
      <c r="A3" s="10">
        <v>2</v>
      </c>
      <c r="B3" s="2" t="s">
        <v>1</v>
      </c>
      <c r="C3" s="8">
        <v>52</v>
      </c>
      <c r="D3" s="11">
        <v>500</v>
      </c>
      <c r="E3" s="8">
        <v>20</v>
      </c>
      <c r="F3" s="14">
        <f>D3/D3*E3</f>
        <v>20</v>
      </c>
      <c r="G3">
        <f t="shared" ref="G3:G7" si="0">C3*D3</f>
        <v>26000</v>
      </c>
    </row>
    <row r="4" spans="1:13" x14ac:dyDescent="0.25">
      <c r="A4" s="10">
        <v>3</v>
      </c>
      <c r="B4" s="2" t="s">
        <v>2</v>
      </c>
      <c r="C4" s="8">
        <v>12</v>
      </c>
      <c r="D4" s="11">
        <v>16</v>
      </c>
      <c r="E4" s="8">
        <v>3</v>
      </c>
      <c r="F4" s="14">
        <f>D4/D4*E4</f>
        <v>3</v>
      </c>
      <c r="G4">
        <f t="shared" si="0"/>
        <v>192</v>
      </c>
    </row>
    <row r="5" spans="1:13" x14ac:dyDescent="0.25">
      <c r="A5" s="10">
        <v>4</v>
      </c>
      <c r="B5" s="2" t="s">
        <v>3</v>
      </c>
      <c r="C5" s="8">
        <v>2</v>
      </c>
      <c r="D5" s="11">
        <v>16</v>
      </c>
      <c r="E5" s="8">
        <v>10</v>
      </c>
      <c r="F5" s="14">
        <f>D5/D5*E5</f>
        <v>10</v>
      </c>
      <c r="G5">
        <f t="shared" si="0"/>
        <v>32</v>
      </c>
    </row>
    <row r="6" spans="1:13" x14ac:dyDescent="0.25">
      <c r="A6" s="10">
        <v>5</v>
      </c>
      <c r="B6" s="2" t="s">
        <v>4</v>
      </c>
      <c r="C6" s="8">
        <f>2*12</f>
        <v>24</v>
      </c>
      <c r="D6" s="6">
        <v>4000</v>
      </c>
      <c r="E6" s="8">
        <v>7</v>
      </c>
      <c r="F6" s="14">
        <f>D14/D6*E6</f>
        <v>1.323</v>
      </c>
      <c r="G6">
        <f t="shared" si="0"/>
        <v>96000</v>
      </c>
    </row>
    <row r="7" spans="1:13" x14ac:dyDescent="0.25">
      <c r="A7" s="10">
        <v>6</v>
      </c>
      <c r="B7" s="2" t="s">
        <v>5</v>
      </c>
      <c r="C7" s="8">
        <f>2*12</f>
        <v>24</v>
      </c>
      <c r="D7" s="6">
        <v>4500</v>
      </c>
      <c r="E7" s="8">
        <v>10</v>
      </c>
      <c r="F7" s="14">
        <f>D15/D7*E7</f>
        <v>2.1</v>
      </c>
      <c r="G7">
        <f t="shared" si="0"/>
        <v>108000</v>
      </c>
    </row>
    <row r="8" spans="1:13" ht="15.75" thickBot="1" x14ac:dyDescent="0.3">
      <c r="F8">
        <f>F2+F3+F4+F5+F6+F7</f>
        <v>86.422999999999988</v>
      </c>
      <c r="G8">
        <f>G2+G3+G4+G5+G6+G7</f>
        <v>960224</v>
      </c>
    </row>
    <row r="9" spans="1:13" ht="15.75" thickBot="1" x14ac:dyDescent="0.3">
      <c r="A9" s="78" t="s">
        <v>11</v>
      </c>
      <c r="B9" s="79"/>
      <c r="C9" s="3" t="s">
        <v>6</v>
      </c>
      <c r="D9" s="4" t="s">
        <v>7</v>
      </c>
      <c r="E9" s="3" t="s">
        <v>8</v>
      </c>
      <c r="F9" s="4" t="s">
        <v>9</v>
      </c>
    </row>
    <row r="10" spans="1:13" x14ac:dyDescent="0.25">
      <c r="A10" s="10">
        <v>1</v>
      </c>
      <c r="B10" s="2" t="s">
        <v>0</v>
      </c>
      <c r="C10" s="7">
        <v>365</v>
      </c>
      <c r="D10" s="5">
        <v>2116.6999999999998</v>
      </c>
      <c r="E10" s="7">
        <v>50</v>
      </c>
      <c r="F10" s="5">
        <f>D2/D10*E10</f>
        <v>47.24335049841735</v>
      </c>
      <c r="G10">
        <f>C10*D10</f>
        <v>772595.49999999988</v>
      </c>
      <c r="I10" s="71"/>
      <c r="J10" s="71"/>
      <c r="K10" s="71"/>
    </row>
    <row r="11" spans="1:13" x14ac:dyDescent="0.25">
      <c r="A11" s="10">
        <v>2</v>
      </c>
      <c r="B11" s="2" t="s">
        <v>1</v>
      </c>
      <c r="C11" s="8">
        <v>52</v>
      </c>
      <c r="D11" s="6">
        <v>907.16</v>
      </c>
      <c r="E11" s="8">
        <v>20</v>
      </c>
      <c r="F11" s="5">
        <f>D3/D11*E11</f>
        <v>11.023413730764144</v>
      </c>
      <c r="G11">
        <f t="shared" ref="G11:G15" si="1">C11*D11</f>
        <v>47172.32</v>
      </c>
      <c r="I11" s="71"/>
      <c r="J11" s="74"/>
      <c r="K11" s="74"/>
      <c r="L11" s="75"/>
      <c r="M11" s="75"/>
    </row>
    <row r="12" spans="1:13" x14ac:dyDescent="0.25">
      <c r="A12" s="10">
        <v>3</v>
      </c>
      <c r="B12" s="2" t="s">
        <v>2</v>
      </c>
      <c r="C12" s="8">
        <v>12</v>
      </c>
      <c r="D12" s="11">
        <v>16</v>
      </c>
      <c r="E12" s="8">
        <v>3</v>
      </c>
      <c r="F12" s="5">
        <f t="shared" ref="F12:F13" si="2">D4/D12*E12</f>
        <v>3</v>
      </c>
      <c r="G12">
        <f t="shared" si="1"/>
        <v>192</v>
      </c>
      <c r="I12" s="71"/>
      <c r="J12" s="74"/>
      <c r="K12" s="74"/>
      <c r="L12" s="75"/>
      <c r="M12" s="75"/>
    </row>
    <row r="13" spans="1:13" x14ac:dyDescent="0.25">
      <c r="A13" s="10">
        <v>4</v>
      </c>
      <c r="B13" s="2" t="s">
        <v>3</v>
      </c>
      <c r="C13" s="8">
        <v>2</v>
      </c>
      <c r="D13" s="11">
        <v>16</v>
      </c>
      <c r="E13" s="8">
        <v>10</v>
      </c>
      <c r="F13" s="5">
        <f t="shared" si="2"/>
        <v>10</v>
      </c>
      <c r="G13">
        <f t="shared" si="1"/>
        <v>32</v>
      </c>
      <c r="I13" s="71"/>
      <c r="J13" s="76"/>
      <c r="K13" s="77"/>
      <c r="L13" s="75"/>
      <c r="M13" s="75"/>
    </row>
    <row r="14" spans="1:13" x14ac:dyDescent="0.25">
      <c r="A14" s="10">
        <v>5</v>
      </c>
      <c r="B14" s="2" t="s">
        <v>4</v>
      </c>
      <c r="C14" s="8">
        <f>2*12</f>
        <v>24</v>
      </c>
      <c r="D14" s="11">
        <v>756</v>
      </c>
      <c r="E14" s="8">
        <v>7</v>
      </c>
      <c r="F14" s="5">
        <f>D14/D14*E14</f>
        <v>7</v>
      </c>
      <c r="G14">
        <f t="shared" si="1"/>
        <v>18144</v>
      </c>
      <c r="I14" s="71"/>
      <c r="J14" s="74"/>
      <c r="K14" s="74"/>
      <c r="L14" s="75"/>
      <c r="M14" s="75"/>
    </row>
    <row r="15" spans="1:13" x14ac:dyDescent="0.25">
      <c r="A15" s="10">
        <v>6</v>
      </c>
      <c r="B15" s="2" t="s">
        <v>5</v>
      </c>
      <c r="C15" s="8">
        <f>2*12</f>
        <v>24</v>
      </c>
      <c r="D15" s="11">
        <v>945</v>
      </c>
      <c r="E15" s="8">
        <v>10</v>
      </c>
      <c r="F15" s="5">
        <f>D15/D15*E15</f>
        <v>10</v>
      </c>
      <c r="G15">
        <f t="shared" si="1"/>
        <v>22680</v>
      </c>
      <c r="I15" s="71"/>
      <c r="J15" s="72"/>
      <c r="K15" s="73"/>
    </row>
    <row r="16" spans="1:13" ht="20.25" thickBot="1" x14ac:dyDescent="0.35">
      <c r="F16" s="15">
        <f>F10+F11+F12+F13+F14+F15</f>
        <v>88.26676422918149</v>
      </c>
      <c r="G16" s="15">
        <f>G10+G11+G12+G13+G14+G15</f>
        <v>860815.81999999983</v>
      </c>
    </row>
    <row r="17" spans="1:9" ht="15.75" thickBot="1" x14ac:dyDescent="0.3">
      <c r="A17" s="82" t="s">
        <v>12</v>
      </c>
      <c r="B17" s="83"/>
      <c r="C17" s="3" t="s">
        <v>6</v>
      </c>
      <c r="D17" s="4" t="s">
        <v>7</v>
      </c>
      <c r="E17" s="3" t="s">
        <v>8</v>
      </c>
      <c r="F17" s="4" t="s">
        <v>9</v>
      </c>
      <c r="H17" t="s">
        <v>73</v>
      </c>
      <c r="I17" t="s">
        <v>74</v>
      </c>
    </row>
    <row r="18" spans="1:9" x14ac:dyDescent="0.25">
      <c r="A18" s="10">
        <v>1</v>
      </c>
      <c r="B18" s="2" t="s">
        <v>0</v>
      </c>
      <c r="C18" s="7">
        <v>365</v>
      </c>
      <c r="D18" s="5">
        <v>3431</v>
      </c>
      <c r="E18" s="7">
        <v>50</v>
      </c>
      <c r="F18" s="5">
        <f>D2/D18*E18</f>
        <v>29.146021568055964</v>
      </c>
      <c r="G18">
        <f>C18*D18</f>
        <v>1252315</v>
      </c>
      <c r="H18">
        <f>G18/12</f>
        <v>104359.58333333333</v>
      </c>
      <c r="I18">
        <f>H18*18</f>
        <v>1878472.5</v>
      </c>
    </row>
    <row r="19" spans="1:9" x14ac:dyDescent="0.25">
      <c r="A19" s="10">
        <v>2</v>
      </c>
      <c r="B19" s="2" t="s">
        <v>1</v>
      </c>
      <c r="C19" s="8">
        <v>52</v>
      </c>
      <c r="D19" s="6">
        <v>4620</v>
      </c>
      <c r="E19" s="8">
        <v>20</v>
      </c>
      <c r="F19" s="5">
        <f>D3/D19*E19</f>
        <v>2.1645021645021645</v>
      </c>
      <c r="G19">
        <f t="shared" ref="G19:G23" si="3">C19*D19</f>
        <v>240240</v>
      </c>
      <c r="H19">
        <f>G19/12</f>
        <v>20020</v>
      </c>
      <c r="I19">
        <f>H19*18</f>
        <v>360360</v>
      </c>
    </row>
    <row r="20" spans="1:9" x14ac:dyDescent="0.25">
      <c r="A20" s="10">
        <v>3</v>
      </c>
      <c r="B20" s="2" t="s">
        <v>2</v>
      </c>
      <c r="C20" s="8">
        <v>12</v>
      </c>
      <c r="D20" s="6">
        <v>34</v>
      </c>
      <c r="E20" s="8">
        <v>3</v>
      </c>
      <c r="F20" s="5">
        <f>D4/D20*E20</f>
        <v>1.4117647058823528</v>
      </c>
      <c r="G20">
        <f t="shared" si="3"/>
        <v>408</v>
      </c>
      <c r="I20">
        <f>I18+I19</f>
        <v>2238832.5</v>
      </c>
    </row>
    <row r="21" spans="1:9" x14ac:dyDescent="0.25">
      <c r="A21" s="10">
        <v>4</v>
      </c>
      <c r="B21" s="2" t="s">
        <v>3</v>
      </c>
      <c r="C21" s="8">
        <v>2</v>
      </c>
      <c r="D21" s="6">
        <v>34</v>
      </c>
      <c r="E21" s="8">
        <v>10</v>
      </c>
      <c r="F21" s="5">
        <f>D5/D21*E21</f>
        <v>4.7058823529411766</v>
      </c>
      <c r="G21">
        <f t="shared" si="3"/>
        <v>68</v>
      </c>
    </row>
    <row r="22" spans="1:9" x14ac:dyDescent="0.25">
      <c r="A22" s="10">
        <v>5</v>
      </c>
      <c r="B22" s="2" t="s">
        <v>4</v>
      </c>
      <c r="C22" s="8">
        <f>2*12</f>
        <v>24</v>
      </c>
      <c r="D22" s="6">
        <v>2160</v>
      </c>
      <c r="E22" s="8">
        <v>7</v>
      </c>
      <c r="F22" s="5">
        <f>D14/D22*E22</f>
        <v>2.4499999999999997</v>
      </c>
      <c r="G22">
        <f t="shared" si="3"/>
        <v>51840</v>
      </c>
    </row>
    <row r="23" spans="1:9" x14ac:dyDescent="0.25">
      <c r="A23" s="10">
        <v>6</v>
      </c>
      <c r="B23" s="2" t="s">
        <v>5</v>
      </c>
      <c r="C23" s="8">
        <f>2*12</f>
        <v>24</v>
      </c>
      <c r="D23" s="6">
        <v>2980</v>
      </c>
      <c r="E23" s="8">
        <v>10</v>
      </c>
      <c r="F23" s="5">
        <f>D15/D23*E23</f>
        <v>3.1711409395973158</v>
      </c>
      <c r="G23">
        <f t="shared" si="3"/>
        <v>71520</v>
      </c>
    </row>
    <row r="24" spans="1:9" x14ac:dyDescent="0.25">
      <c r="D24" s="1" t="s">
        <v>13</v>
      </c>
      <c r="F24" s="12">
        <f>F18+F19+F20+F21+F22+F23</f>
        <v>43.049311730978971</v>
      </c>
      <c r="G24">
        <f>G18+G19+G20+G21+G22+G23</f>
        <v>1616391</v>
      </c>
    </row>
    <row r="26" spans="1:9" x14ac:dyDescent="0.25">
      <c r="C26" s="84" t="s">
        <v>13</v>
      </c>
      <c r="D26" s="84"/>
      <c r="E26" s="84" t="s">
        <v>16</v>
      </c>
      <c r="F26" s="84"/>
    </row>
    <row r="27" spans="1:9" x14ac:dyDescent="0.25">
      <c r="C27" s="16" t="s">
        <v>14</v>
      </c>
      <c r="D27" s="16" t="s">
        <v>15</v>
      </c>
      <c r="E27" s="16" t="s">
        <v>14</v>
      </c>
      <c r="F27" s="16" t="s">
        <v>15</v>
      </c>
    </row>
    <row r="28" spans="1:9" x14ac:dyDescent="0.25">
      <c r="C28" s="17">
        <f>G16</f>
        <v>860815.81999999983</v>
      </c>
      <c r="D28" s="17">
        <f>C28/12</f>
        <v>71734.651666666658</v>
      </c>
      <c r="E28" s="18">
        <f>C28*1.21</f>
        <v>1041587.1421999998</v>
      </c>
      <c r="F28" s="18">
        <f>D28*1.21</f>
        <v>86798.928516666652</v>
      </c>
    </row>
  </sheetData>
  <mergeCells count="5">
    <mergeCell ref="A9:B9"/>
    <mergeCell ref="A1:B1"/>
    <mergeCell ref="A17:B17"/>
    <mergeCell ref="C26:D26"/>
    <mergeCell ref="E26:F26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A30" sqref="A30:XFD34"/>
    </sheetView>
  </sheetViews>
  <sheetFormatPr defaultRowHeight="15.75" x14ac:dyDescent="0.25"/>
  <cols>
    <col min="1" max="1" width="3.7109375" style="9" customWidth="1"/>
    <col min="2" max="2" width="30.7109375" customWidth="1"/>
    <col min="3" max="4" width="12.7109375" style="1" customWidth="1"/>
    <col min="5" max="5" width="12.7109375" customWidth="1"/>
    <col min="6" max="6" width="16.7109375" customWidth="1"/>
    <col min="7" max="7" width="20.7109375" style="20" customWidth="1"/>
    <col min="8" max="8" width="15.42578125" bestFit="1" customWidth="1"/>
  </cols>
  <sheetData>
    <row r="1" spans="1:9" ht="16.5" thickBot="1" x14ac:dyDescent="0.3">
      <c r="A1" s="85" t="s">
        <v>10</v>
      </c>
      <c r="B1" s="86"/>
      <c r="C1" s="56" t="s">
        <v>6</v>
      </c>
      <c r="D1" s="57" t="s">
        <v>7</v>
      </c>
      <c r="E1" s="56" t="s">
        <v>8</v>
      </c>
      <c r="F1" s="13" t="s">
        <v>9</v>
      </c>
      <c r="G1" s="19"/>
    </row>
    <row r="2" spans="1:9" x14ac:dyDescent="0.25">
      <c r="A2" s="58">
        <v>1</v>
      </c>
      <c r="B2" s="2" t="s">
        <v>0</v>
      </c>
      <c r="C2" s="8">
        <v>365</v>
      </c>
      <c r="D2" s="11">
        <v>2420</v>
      </c>
      <c r="E2" s="8">
        <v>50</v>
      </c>
      <c r="F2" s="59">
        <f>D2/D2*E2</f>
        <v>50</v>
      </c>
      <c r="G2" s="19">
        <f>C2*D2</f>
        <v>883300</v>
      </c>
    </row>
    <row r="3" spans="1:9" x14ac:dyDescent="0.25">
      <c r="A3" s="58">
        <v>2</v>
      </c>
      <c r="B3" s="2" t="s">
        <v>1</v>
      </c>
      <c r="C3" s="8">
        <v>52</v>
      </c>
      <c r="D3" s="11">
        <v>605</v>
      </c>
      <c r="E3" s="8">
        <v>20</v>
      </c>
      <c r="F3" s="59">
        <f>D3/D3*E3</f>
        <v>20</v>
      </c>
      <c r="G3" s="19">
        <f t="shared" ref="G3:G7" si="0">C3*D3</f>
        <v>31460</v>
      </c>
    </row>
    <row r="4" spans="1:9" x14ac:dyDescent="0.25">
      <c r="A4" s="58">
        <v>3</v>
      </c>
      <c r="B4" s="2" t="s">
        <v>2</v>
      </c>
      <c r="C4" s="8">
        <v>12</v>
      </c>
      <c r="D4" s="11">
        <v>19.36</v>
      </c>
      <c r="E4" s="8">
        <v>3</v>
      </c>
      <c r="F4" s="59">
        <f>D4/D4*E4</f>
        <v>3</v>
      </c>
      <c r="G4" s="22">
        <f t="shared" si="0"/>
        <v>232.32</v>
      </c>
      <c r="H4">
        <f>Okna!I29</f>
        <v>2007.2447999999999</v>
      </c>
    </row>
    <row r="5" spans="1:9" x14ac:dyDescent="0.25">
      <c r="A5" s="58">
        <v>4</v>
      </c>
      <c r="B5" s="2" t="s">
        <v>3</v>
      </c>
      <c r="C5" s="8">
        <v>2</v>
      </c>
      <c r="D5" s="11">
        <v>19.36</v>
      </c>
      <c r="E5" s="8">
        <v>10</v>
      </c>
      <c r="F5" s="59">
        <f>D5/D5*E5</f>
        <v>10</v>
      </c>
      <c r="G5" s="22">
        <f t="shared" si="0"/>
        <v>38.72</v>
      </c>
      <c r="H5">
        <f>Okna!I34</f>
        <v>5395.1673599999995</v>
      </c>
    </row>
    <row r="6" spans="1:9" x14ac:dyDescent="0.25">
      <c r="A6" s="58">
        <v>5</v>
      </c>
      <c r="B6" s="2" t="s">
        <v>4</v>
      </c>
      <c r="C6" s="8">
        <f>2*12</f>
        <v>24</v>
      </c>
      <c r="D6" s="6">
        <v>4840</v>
      </c>
      <c r="E6" s="8">
        <v>7</v>
      </c>
      <c r="F6" s="59">
        <f>D14/D6*E6</f>
        <v>1.323</v>
      </c>
      <c r="G6" s="19">
        <f t="shared" si="0"/>
        <v>116160</v>
      </c>
    </row>
    <row r="7" spans="1:9" x14ac:dyDescent="0.25">
      <c r="A7" s="58">
        <v>6</v>
      </c>
      <c r="B7" s="2" t="s">
        <v>5</v>
      </c>
      <c r="C7" s="8">
        <f>2*12</f>
        <v>24</v>
      </c>
      <c r="D7" s="6">
        <v>5445</v>
      </c>
      <c r="E7" s="8">
        <v>10</v>
      </c>
      <c r="F7" s="59">
        <f>D15/D7*E7</f>
        <v>2.1</v>
      </c>
      <c r="G7" s="19">
        <f t="shared" si="0"/>
        <v>130680</v>
      </c>
      <c r="I7" s="69"/>
    </row>
    <row r="8" spans="1:9" ht="21" thickBot="1" x14ac:dyDescent="0.45">
      <c r="A8" s="90" t="s">
        <v>69</v>
      </c>
      <c r="B8" s="91"/>
      <c r="C8" s="91"/>
      <c r="D8" s="91"/>
      <c r="E8" s="91"/>
      <c r="F8" s="60">
        <f>F2+F3+F4+F5+F6+F7</f>
        <v>86.422999999999988</v>
      </c>
      <c r="G8" s="19">
        <f>G2+G3+G4+G5+G6+G7</f>
        <v>1161871.04</v>
      </c>
      <c r="H8" s="63">
        <f>G8+H4+H5</f>
        <v>1169273.4521600001</v>
      </c>
      <c r="I8" s="70"/>
    </row>
    <row r="9" spans="1:9" ht="16.5" thickBot="1" x14ac:dyDescent="0.3">
      <c r="A9" s="87" t="s">
        <v>11</v>
      </c>
      <c r="B9" s="88"/>
      <c r="C9" s="3" t="s">
        <v>6</v>
      </c>
      <c r="D9" s="4" t="s">
        <v>7</v>
      </c>
      <c r="E9" s="3" t="s">
        <v>8</v>
      </c>
      <c r="F9" s="4" t="s">
        <v>9</v>
      </c>
      <c r="G9" s="19"/>
      <c r="I9" s="69"/>
    </row>
    <row r="10" spans="1:9" x14ac:dyDescent="0.25">
      <c r="A10" s="58">
        <v>1</v>
      </c>
      <c r="B10" s="2" t="s">
        <v>0</v>
      </c>
      <c r="C10" s="7">
        <v>365</v>
      </c>
      <c r="D10" s="5">
        <v>2561.21</v>
      </c>
      <c r="E10" s="7">
        <v>50</v>
      </c>
      <c r="F10" s="61">
        <f>D2/D10*E10</f>
        <v>47.243295161271433</v>
      </c>
      <c r="G10" s="19">
        <f>C10*D10</f>
        <v>934841.65</v>
      </c>
      <c r="I10" s="69"/>
    </row>
    <row r="11" spans="1:9" x14ac:dyDescent="0.25">
      <c r="A11" s="58">
        <v>2</v>
      </c>
      <c r="B11" s="2" t="s">
        <v>1</v>
      </c>
      <c r="C11" s="8">
        <v>52</v>
      </c>
      <c r="D11" s="6">
        <v>1097.6600000000001</v>
      </c>
      <c r="E11" s="8">
        <v>20</v>
      </c>
      <c r="F11" s="61">
        <f>D3/D11*E11</f>
        <v>11.023449884299328</v>
      </c>
      <c r="G11" s="19">
        <f t="shared" ref="G11:G15" si="1">C11*D11</f>
        <v>57078.320000000007</v>
      </c>
      <c r="I11" s="69"/>
    </row>
    <row r="12" spans="1:9" x14ac:dyDescent="0.25">
      <c r="A12" s="58">
        <v>3</v>
      </c>
      <c r="B12" s="2" t="s">
        <v>2</v>
      </c>
      <c r="C12" s="8">
        <v>12</v>
      </c>
      <c r="D12" s="11">
        <v>19.36</v>
      </c>
      <c r="E12" s="8">
        <v>3</v>
      </c>
      <c r="F12" s="61">
        <f t="shared" ref="F12:F13" si="2">D4/D12*E12</f>
        <v>3</v>
      </c>
      <c r="G12" s="22">
        <f t="shared" si="1"/>
        <v>232.32</v>
      </c>
      <c r="H12">
        <f>Okna!I29</f>
        <v>2007.2447999999999</v>
      </c>
      <c r="I12" s="69"/>
    </row>
    <row r="13" spans="1:9" x14ac:dyDescent="0.25">
      <c r="A13" s="58">
        <v>4</v>
      </c>
      <c r="B13" s="2" t="s">
        <v>3</v>
      </c>
      <c r="C13" s="8">
        <v>2</v>
      </c>
      <c r="D13" s="11">
        <v>19.36</v>
      </c>
      <c r="E13" s="8">
        <v>10</v>
      </c>
      <c r="F13" s="61">
        <f t="shared" si="2"/>
        <v>10</v>
      </c>
      <c r="G13" s="22">
        <f>C13*D13</f>
        <v>38.72</v>
      </c>
      <c r="H13">
        <f>Okna!I34</f>
        <v>5395.1673599999995</v>
      </c>
    </row>
    <row r="14" spans="1:9" x14ac:dyDescent="0.25">
      <c r="A14" s="58">
        <v>5</v>
      </c>
      <c r="B14" s="2" t="s">
        <v>4</v>
      </c>
      <c r="C14" s="8">
        <f>2*12</f>
        <v>24</v>
      </c>
      <c r="D14" s="11">
        <v>914.76</v>
      </c>
      <c r="E14" s="8">
        <v>7</v>
      </c>
      <c r="F14" s="61">
        <f>D14/D14*E14</f>
        <v>7</v>
      </c>
      <c r="G14" s="19">
        <f t="shared" si="1"/>
        <v>21954.239999999998</v>
      </c>
    </row>
    <row r="15" spans="1:9" x14ac:dyDescent="0.25">
      <c r="A15" s="58">
        <v>6</v>
      </c>
      <c r="B15" s="2" t="s">
        <v>5</v>
      </c>
      <c r="C15" s="8">
        <f>2*12</f>
        <v>24</v>
      </c>
      <c r="D15" s="11">
        <v>1143.45</v>
      </c>
      <c r="E15" s="8">
        <v>10</v>
      </c>
      <c r="F15" s="61">
        <f>D15/D15*E15</f>
        <v>10</v>
      </c>
      <c r="G15" s="19">
        <f t="shared" si="1"/>
        <v>27442.800000000003</v>
      </c>
    </row>
    <row r="16" spans="1:9" ht="21" thickBot="1" x14ac:dyDescent="0.45">
      <c r="A16" s="90" t="s">
        <v>69</v>
      </c>
      <c r="B16" s="91"/>
      <c r="C16" s="91"/>
      <c r="D16" s="91"/>
      <c r="E16" s="91"/>
      <c r="F16" s="62">
        <f>F10+F11+F12+F13+F14+F15</f>
        <v>88.266745045570758</v>
      </c>
      <c r="G16" s="21">
        <f>G10+G11+G12+G13+G14+G15</f>
        <v>1041588.0499999999</v>
      </c>
      <c r="H16" s="53">
        <f>G10+G11+H12+H13++G14+G15</f>
        <v>1048719.4221599998</v>
      </c>
    </row>
    <row r="17" spans="1:7" ht="16.5" thickBot="1" x14ac:dyDescent="0.3">
      <c r="A17" s="82" t="s">
        <v>12</v>
      </c>
      <c r="B17" s="83"/>
      <c r="C17" s="54" t="s">
        <v>6</v>
      </c>
      <c r="D17" s="55" t="s">
        <v>7</v>
      </c>
      <c r="E17" s="54" t="s">
        <v>8</v>
      </c>
      <c r="F17" s="55" t="s">
        <v>9</v>
      </c>
      <c r="G17" s="19"/>
    </row>
    <row r="18" spans="1:7" x14ac:dyDescent="0.25">
      <c r="A18" s="10">
        <v>1</v>
      </c>
      <c r="B18" s="2" t="s">
        <v>0</v>
      </c>
      <c r="C18" s="7">
        <v>365</v>
      </c>
      <c r="D18" s="5">
        <v>4151.51</v>
      </c>
      <c r="E18" s="7">
        <v>50</v>
      </c>
      <c r="F18" s="5">
        <f>D2/D18*E18</f>
        <v>29.146021568055957</v>
      </c>
      <c r="G18" s="19">
        <f>C18*D18</f>
        <v>1515301.1500000001</v>
      </c>
    </row>
    <row r="19" spans="1:7" x14ac:dyDescent="0.25">
      <c r="A19" s="10">
        <v>2</v>
      </c>
      <c r="B19" s="2" t="s">
        <v>1</v>
      </c>
      <c r="C19" s="8">
        <v>52</v>
      </c>
      <c r="D19" s="6">
        <v>5590.2</v>
      </c>
      <c r="E19" s="8">
        <v>20</v>
      </c>
      <c r="F19" s="5">
        <f>D3/D19*E19</f>
        <v>2.1645021645021645</v>
      </c>
      <c r="G19" s="19">
        <f t="shared" ref="G19:G23" si="3">C19*D19</f>
        <v>290690.39999999997</v>
      </c>
    </row>
    <row r="20" spans="1:7" x14ac:dyDescent="0.25">
      <c r="A20" s="10">
        <v>3</v>
      </c>
      <c r="B20" s="2" t="s">
        <v>2</v>
      </c>
      <c r="C20" s="8">
        <v>12</v>
      </c>
      <c r="D20" s="6">
        <v>41.14</v>
      </c>
      <c r="E20" s="8">
        <v>3</v>
      </c>
      <c r="F20" s="5">
        <f>D4/D20*E20</f>
        <v>1.4117647058823528</v>
      </c>
      <c r="G20" s="22">
        <f t="shared" si="3"/>
        <v>493.68</v>
      </c>
    </row>
    <row r="21" spans="1:7" x14ac:dyDescent="0.25">
      <c r="A21" s="10">
        <v>4</v>
      </c>
      <c r="B21" s="2" t="s">
        <v>3</v>
      </c>
      <c r="C21" s="8">
        <v>2</v>
      </c>
      <c r="D21" s="6">
        <v>41.14</v>
      </c>
      <c r="E21" s="8">
        <v>10</v>
      </c>
      <c r="F21" s="5">
        <f>D5/D21*E21</f>
        <v>4.7058823529411766</v>
      </c>
      <c r="G21" s="22">
        <f t="shared" si="3"/>
        <v>82.28</v>
      </c>
    </row>
    <row r="22" spans="1:7" x14ac:dyDescent="0.25">
      <c r="A22" s="10">
        <v>5</v>
      </c>
      <c r="B22" s="2" t="s">
        <v>4</v>
      </c>
      <c r="C22" s="8">
        <f>2*12</f>
        <v>24</v>
      </c>
      <c r="D22" s="6">
        <v>2613.6</v>
      </c>
      <c r="E22" s="8">
        <v>7</v>
      </c>
      <c r="F22" s="5">
        <f>D14/D22*E22</f>
        <v>2.4500000000000002</v>
      </c>
      <c r="G22" s="19">
        <f t="shared" si="3"/>
        <v>62726.399999999994</v>
      </c>
    </row>
    <row r="23" spans="1:7" x14ac:dyDescent="0.25">
      <c r="A23" s="10">
        <v>6</v>
      </c>
      <c r="B23" s="2" t="s">
        <v>5</v>
      </c>
      <c r="C23" s="8">
        <f>2*12</f>
        <v>24</v>
      </c>
      <c r="D23" s="6">
        <v>3605.8</v>
      </c>
      <c r="E23" s="8">
        <v>10</v>
      </c>
      <c r="F23" s="5">
        <f>D15/D23*E23</f>
        <v>3.1711409395973158</v>
      </c>
      <c r="G23" s="19">
        <f t="shared" si="3"/>
        <v>86539.200000000012</v>
      </c>
    </row>
    <row r="24" spans="1:7" x14ac:dyDescent="0.25">
      <c r="F24" s="12">
        <f>F18+F19+F20+F21+F22+F23</f>
        <v>43.049311730978964</v>
      </c>
      <c r="G24" s="19">
        <f>G18+G19+G20+G21+G22+G23</f>
        <v>1955833.1099999999</v>
      </c>
    </row>
    <row r="25" spans="1:7" x14ac:dyDescent="0.25">
      <c r="G25" s="19"/>
    </row>
    <row r="26" spans="1:7" x14ac:dyDescent="0.25">
      <c r="C26" s="89" t="s">
        <v>72</v>
      </c>
      <c r="D26" s="89"/>
      <c r="E26" s="89" t="s">
        <v>71</v>
      </c>
      <c r="F26" s="89"/>
    </row>
    <row r="27" spans="1:7" x14ac:dyDescent="0.25">
      <c r="C27" s="16" t="s">
        <v>14</v>
      </c>
      <c r="D27" s="16" t="s">
        <v>15</v>
      </c>
      <c r="E27" s="16" t="s">
        <v>14</v>
      </c>
      <c r="F27" s="16" t="s">
        <v>15</v>
      </c>
    </row>
    <row r="28" spans="1:7" x14ac:dyDescent="0.25">
      <c r="C28" s="65">
        <f>H8</f>
        <v>1169273.4521600001</v>
      </c>
      <c r="D28" s="66">
        <f>C28/12</f>
        <v>97439.45434666668</v>
      </c>
      <c r="E28" s="52">
        <f>H16</f>
        <v>1048719.4221599998</v>
      </c>
      <c r="F28" s="64">
        <f>E28/12</f>
        <v>87393.285179999992</v>
      </c>
    </row>
    <row r="29" spans="1:7" ht="18" x14ac:dyDescent="0.4">
      <c r="C29" s="1" t="s">
        <v>70</v>
      </c>
      <c r="D29" s="67">
        <f>D28*18</f>
        <v>1753910.1782400003</v>
      </c>
      <c r="E29" t="s">
        <v>70</v>
      </c>
      <c r="F29" s="68">
        <f>F28*18</f>
        <v>1573079.1332399999</v>
      </c>
    </row>
  </sheetData>
  <mergeCells count="7">
    <mergeCell ref="A1:B1"/>
    <mergeCell ref="A9:B9"/>
    <mergeCell ref="A17:B17"/>
    <mergeCell ref="C26:D26"/>
    <mergeCell ref="E26:F26"/>
    <mergeCell ref="A8:E8"/>
    <mergeCell ref="A16:E16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B1:I34"/>
  <sheetViews>
    <sheetView workbookViewId="0">
      <selection activeCell="D39" sqref="D39"/>
    </sheetView>
  </sheetViews>
  <sheetFormatPr defaultRowHeight="12" x14ac:dyDescent="0.2"/>
  <cols>
    <col min="1" max="1" width="9.140625" style="23"/>
    <col min="2" max="2" width="17.140625" style="23" bestFit="1" customWidth="1"/>
    <col min="3" max="3" width="19" style="23" bestFit="1" customWidth="1"/>
    <col min="4" max="4" width="11.28515625" style="23" bestFit="1" customWidth="1"/>
    <col min="5" max="5" width="10.85546875" style="23" bestFit="1" customWidth="1"/>
    <col min="6" max="10" width="9.140625" style="23"/>
    <col min="11" max="11" width="10.7109375" style="23" customWidth="1"/>
    <col min="12" max="16384" width="9.140625" style="23"/>
  </cols>
  <sheetData>
    <row r="1" spans="2:5" ht="12.75" thickBot="1" x14ac:dyDescent="0.25"/>
    <row r="2" spans="2:5" ht="15.75" thickBot="1" x14ac:dyDescent="0.25">
      <c r="B2" s="24" t="s">
        <v>17</v>
      </c>
      <c r="C2" s="25" t="s">
        <v>18</v>
      </c>
      <c r="D2" s="26" t="s">
        <v>19</v>
      </c>
    </row>
    <row r="3" spans="2:5" x14ac:dyDescent="0.2">
      <c r="B3" s="27" t="s">
        <v>20</v>
      </c>
      <c r="C3" s="28" t="s">
        <v>21</v>
      </c>
      <c r="D3" s="29" t="s">
        <v>22</v>
      </c>
      <c r="E3" s="23">
        <f>2.6*1.4</f>
        <v>3.6399999999999997</v>
      </c>
    </row>
    <row r="4" spans="2:5" x14ac:dyDescent="0.2">
      <c r="B4" s="30" t="s">
        <v>23</v>
      </c>
      <c r="C4" s="31" t="s">
        <v>24</v>
      </c>
      <c r="D4" s="32" t="s">
        <v>22</v>
      </c>
      <c r="E4" s="23">
        <f>2.4*1.4</f>
        <v>3.36</v>
      </c>
    </row>
    <row r="5" spans="2:5" x14ac:dyDescent="0.2">
      <c r="B5" s="30" t="s">
        <v>25</v>
      </c>
      <c r="C5" s="31" t="s">
        <v>26</v>
      </c>
      <c r="D5" s="32"/>
      <c r="E5" s="23">
        <f>1.8*2.7</f>
        <v>4.8600000000000003</v>
      </c>
    </row>
    <row r="6" spans="2:5" x14ac:dyDescent="0.2">
      <c r="B6" s="30"/>
      <c r="C6" s="31" t="s">
        <v>27</v>
      </c>
      <c r="D6" s="32" t="s">
        <v>28</v>
      </c>
      <c r="E6" s="23">
        <f>2*2.7</f>
        <v>5.4</v>
      </c>
    </row>
    <row r="7" spans="2:5" x14ac:dyDescent="0.2">
      <c r="B7" s="30"/>
      <c r="C7" s="31" t="s">
        <v>29</v>
      </c>
      <c r="D7" s="32"/>
      <c r="E7" s="23">
        <f>5.4*2.7</f>
        <v>14.580000000000002</v>
      </c>
    </row>
    <row r="8" spans="2:5" x14ac:dyDescent="0.2">
      <c r="B8" s="33" t="s">
        <v>30</v>
      </c>
      <c r="C8" s="34" t="s">
        <v>31</v>
      </c>
      <c r="D8" s="35"/>
      <c r="E8" s="36">
        <f>1.2*1.8</f>
        <v>2.16</v>
      </c>
    </row>
    <row r="9" spans="2:5" x14ac:dyDescent="0.2">
      <c r="B9" s="33" t="s">
        <v>32</v>
      </c>
      <c r="C9" s="34" t="s">
        <v>31</v>
      </c>
      <c r="D9" s="35"/>
      <c r="E9" s="36">
        <f>1.2*1.8</f>
        <v>2.16</v>
      </c>
    </row>
    <row r="10" spans="2:5" x14ac:dyDescent="0.2">
      <c r="B10" s="30" t="s">
        <v>33</v>
      </c>
      <c r="C10" s="31" t="s">
        <v>34</v>
      </c>
      <c r="D10" s="32"/>
      <c r="E10" s="23">
        <f>2.87*2.87</f>
        <v>8.2369000000000003</v>
      </c>
    </row>
    <row r="11" spans="2:5" x14ac:dyDescent="0.2">
      <c r="B11" s="30"/>
      <c r="C11" s="31" t="s">
        <v>35</v>
      </c>
      <c r="D11" s="32"/>
      <c r="E11" s="23">
        <f>2.87*2.43</f>
        <v>6.9741000000000009</v>
      </c>
    </row>
    <row r="12" spans="2:5" x14ac:dyDescent="0.2">
      <c r="B12" s="30"/>
      <c r="C12" s="31" t="s">
        <v>36</v>
      </c>
      <c r="D12" s="32"/>
      <c r="E12" s="23">
        <f>5.6*2.87</f>
        <v>16.071999999999999</v>
      </c>
    </row>
    <row r="13" spans="2:5" x14ac:dyDescent="0.2">
      <c r="B13" s="30"/>
      <c r="C13" s="31" t="s">
        <v>37</v>
      </c>
      <c r="D13" s="32"/>
      <c r="E13" s="23">
        <f>2*2.87</f>
        <v>5.74</v>
      </c>
    </row>
    <row r="14" spans="2:5" x14ac:dyDescent="0.2">
      <c r="B14" s="30"/>
      <c r="C14" s="31" t="s">
        <v>38</v>
      </c>
      <c r="D14" s="32"/>
      <c r="E14" s="23">
        <f>3.5*2.87</f>
        <v>10.045</v>
      </c>
    </row>
    <row r="15" spans="2:5" x14ac:dyDescent="0.2">
      <c r="B15" s="30"/>
      <c r="C15" s="31" t="s">
        <v>39</v>
      </c>
      <c r="D15" s="32"/>
      <c r="E15" s="23">
        <f>5.65*2.87</f>
        <v>16.215500000000002</v>
      </c>
    </row>
    <row r="16" spans="2:5" x14ac:dyDescent="0.2">
      <c r="B16" s="30"/>
      <c r="C16" s="31" t="s">
        <v>40</v>
      </c>
      <c r="D16" s="32"/>
      <c r="E16" s="23">
        <f>4.9*2.87</f>
        <v>14.063000000000002</v>
      </c>
    </row>
    <row r="17" spans="2:9" x14ac:dyDescent="0.2">
      <c r="B17" s="30" t="s">
        <v>41</v>
      </c>
      <c r="C17" s="31" t="s">
        <v>42</v>
      </c>
      <c r="D17" s="32" t="s">
        <v>28</v>
      </c>
      <c r="E17" s="23">
        <f>5.37*2.13</f>
        <v>11.4381</v>
      </c>
    </row>
    <row r="18" spans="2:9" x14ac:dyDescent="0.2">
      <c r="B18" s="41" t="s">
        <v>43</v>
      </c>
      <c r="C18" s="42" t="s">
        <v>44</v>
      </c>
      <c r="D18" s="43" t="s">
        <v>28</v>
      </c>
      <c r="E18" s="44">
        <f>0.6*1.77</f>
        <v>1.0620000000000001</v>
      </c>
    </row>
    <row r="19" spans="2:9" x14ac:dyDescent="0.2">
      <c r="B19" s="41" t="s">
        <v>45</v>
      </c>
      <c r="C19" s="42" t="s">
        <v>44</v>
      </c>
      <c r="D19" s="43" t="s">
        <v>28</v>
      </c>
      <c r="E19" s="44">
        <f>0.6*1.77</f>
        <v>1.0620000000000001</v>
      </c>
    </row>
    <row r="20" spans="2:9" x14ac:dyDescent="0.2">
      <c r="B20" s="41" t="s">
        <v>46</v>
      </c>
      <c r="C20" s="42" t="s">
        <v>47</v>
      </c>
      <c r="D20" s="43" t="s">
        <v>28</v>
      </c>
      <c r="E20" s="44">
        <f>1.8*1.2</f>
        <v>2.16</v>
      </c>
    </row>
    <row r="21" spans="2:9" x14ac:dyDescent="0.2">
      <c r="B21" s="41" t="s">
        <v>48</v>
      </c>
      <c r="C21" s="42" t="s">
        <v>49</v>
      </c>
      <c r="D21" s="43"/>
      <c r="E21" s="44">
        <f>0.85*1.4</f>
        <v>1.19</v>
      </c>
    </row>
    <row r="22" spans="2:9" x14ac:dyDescent="0.2">
      <c r="B22" s="41" t="s">
        <v>50</v>
      </c>
      <c r="C22" s="42" t="s">
        <v>51</v>
      </c>
      <c r="D22" s="43"/>
      <c r="E22" s="44">
        <f>1.3*1.3</f>
        <v>1.6900000000000002</v>
      </c>
    </row>
    <row r="23" spans="2:9" x14ac:dyDescent="0.2">
      <c r="B23" s="33" t="s">
        <v>52</v>
      </c>
      <c r="C23" s="34" t="s">
        <v>53</v>
      </c>
      <c r="D23" s="35"/>
      <c r="E23" s="36">
        <f>1.55*2.7</f>
        <v>4.1850000000000005</v>
      </c>
    </row>
    <row r="24" spans="2:9" x14ac:dyDescent="0.2">
      <c r="B24" s="33"/>
      <c r="C24" s="34" t="s">
        <v>54</v>
      </c>
      <c r="D24" s="35"/>
      <c r="E24" s="36">
        <f>0.93*1.8</f>
        <v>1.6740000000000002</v>
      </c>
    </row>
    <row r="25" spans="2:9" x14ac:dyDescent="0.2">
      <c r="B25" s="33"/>
      <c r="C25" s="34" t="s">
        <v>55</v>
      </c>
      <c r="D25" s="35"/>
      <c r="E25" s="36">
        <f>2.9*1.8</f>
        <v>5.22</v>
      </c>
    </row>
    <row r="26" spans="2:9" x14ac:dyDescent="0.2">
      <c r="B26" s="33" t="s">
        <v>56</v>
      </c>
      <c r="C26" s="34" t="s">
        <v>57</v>
      </c>
      <c r="D26" s="35"/>
      <c r="E26" s="36">
        <f>1.2*3.9</f>
        <v>4.68</v>
      </c>
    </row>
    <row r="27" spans="2:9" x14ac:dyDescent="0.2">
      <c r="B27" s="33"/>
      <c r="C27" s="34" t="s">
        <v>58</v>
      </c>
      <c r="D27" s="35"/>
      <c r="E27" s="36">
        <f>2.3*0.9</f>
        <v>2.0699999999999998</v>
      </c>
    </row>
    <row r="28" spans="2:9" ht="12.75" thickBot="1" x14ac:dyDescent="0.25">
      <c r="B28" s="33"/>
      <c r="C28" s="34" t="s">
        <v>59</v>
      </c>
      <c r="D28" s="35"/>
      <c r="E28" s="36">
        <f>3*1.2</f>
        <v>3.5999999999999996</v>
      </c>
    </row>
    <row r="29" spans="2:9" ht="16.5" thickBot="1" x14ac:dyDescent="0.3">
      <c r="B29" s="45" t="s">
        <v>60</v>
      </c>
      <c r="C29" s="46" t="s">
        <v>47</v>
      </c>
      <c r="D29" s="47" t="s">
        <v>28</v>
      </c>
      <c r="E29" s="48">
        <f>1.8*1.2*2</f>
        <v>4.32</v>
      </c>
      <c r="F29" s="48">
        <v>19.36</v>
      </c>
      <c r="G29" s="49">
        <f>E29*2*F29</f>
        <v>167.2704</v>
      </c>
      <c r="H29" s="48">
        <v>12</v>
      </c>
      <c r="I29" s="50">
        <f>G29*H29</f>
        <v>2007.2447999999999</v>
      </c>
    </row>
    <row r="30" spans="2:9" x14ac:dyDescent="0.2">
      <c r="B30" s="33" t="s">
        <v>61</v>
      </c>
      <c r="C30" s="34" t="s">
        <v>47</v>
      </c>
      <c r="D30" s="35" t="s">
        <v>28</v>
      </c>
      <c r="E30" s="36">
        <f>1.8*1.2*2</f>
        <v>4.32</v>
      </c>
    </row>
    <row r="31" spans="2:9" x14ac:dyDescent="0.2">
      <c r="B31" s="33" t="s">
        <v>62</v>
      </c>
      <c r="C31" s="34" t="s">
        <v>31</v>
      </c>
      <c r="D31" s="35" t="s">
        <v>63</v>
      </c>
      <c r="E31" s="36">
        <f>1.2*1.8*9</f>
        <v>19.440000000000001</v>
      </c>
    </row>
    <row r="32" spans="2:9" x14ac:dyDescent="0.2">
      <c r="B32" s="33" t="s">
        <v>64</v>
      </c>
      <c r="C32" s="34" t="s">
        <v>65</v>
      </c>
      <c r="D32" s="35" t="s">
        <v>66</v>
      </c>
      <c r="E32" s="36">
        <f>1.2*2*6</f>
        <v>14.399999999999999</v>
      </c>
    </row>
    <row r="33" spans="2:9" ht="12.75" thickBot="1" x14ac:dyDescent="0.25">
      <c r="B33" s="37" t="s">
        <v>67</v>
      </c>
      <c r="C33" s="38" t="s">
        <v>68</v>
      </c>
      <c r="D33" s="39" t="s">
        <v>28</v>
      </c>
      <c r="E33" s="36">
        <f>2.4*1.2*2</f>
        <v>5.76</v>
      </c>
    </row>
    <row r="34" spans="2:9" ht="16.5" thickBot="1" x14ac:dyDescent="0.3">
      <c r="E34" s="40">
        <f>E8+E9+E23+E25+E24+E26+E27+E28+E30+E31+E32+E33</f>
        <v>69.668999999999997</v>
      </c>
      <c r="F34" s="36">
        <v>19.36</v>
      </c>
      <c r="G34" s="36">
        <f>E34*2*F34</f>
        <v>2697.5836799999997</v>
      </c>
      <c r="H34" s="23">
        <v>2</v>
      </c>
      <c r="I34" s="51">
        <f>G34*H34</f>
        <v>5395.1673599999995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List1</vt:lpstr>
      <vt:lpstr>vyhodnocení 30.6.22</vt:lpstr>
      <vt:lpstr>vyhodnocení 30.6.22 včetně DPH</vt:lpstr>
      <vt:lpstr>Okna</vt:lpstr>
    </vt:vector>
  </TitlesOfParts>
  <Company>Městský úřad Kutná Hora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Holubová Markéta</dc:creator>
  <cp:lastModifiedBy>Holubová Markéta</cp:lastModifiedBy>
  <cp:lastPrinted>2022-07-04T08:01:24Z</cp:lastPrinted>
  <dcterms:created xsi:type="dcterms:W3CDTF">2022-06-10T06:52:12Z</dcterms:created>
  <dcterms:modified xsi:type="dcterms:W3CDTF">2022-12-30T13:29:25Z</dcterms:modified>
</cp:coreProperties>
</file>