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65524" yWindow="65524" windowWidth="14520" windowHeight="12384" activeTab="1"/>
  </bookViews>
  <sheets>
    <sheet name="Rekapitulace stavby" sheetId="1" r:id="rId1"/>
    <sheet name=" Kutná Hora ul...." sheetId="2" r:id="rId2"/>
  </sheets>
  <definedNames>
    <definedName name="_xlnm.Print_Area" localSheetId="1">' Kutná Hora ul....'!$C$4:$Q$70,' Kutná Hora ul....'!$C$76:$Q$114,' Kutná Hora ul....'!$C$120:$Q$302</definedName>
    <definedName name="_xlnm.Print_Area" localSheetId="0">'Rekapitulace stavby'!$C$4:$AP$70,'Rekapitulace stavby'!$C$76:$AP$92</definedName>
    <definedName name="_xlnm.Print_Titles" localSheetId="0">'Rekapitulace stavby'!$85:$85</definedName>
    <definedName name="_xlnm.Print_Titles" localSheetId="1">' Kutná Hora ul....'!$129:$129</definedName>
  </definedNames>
  <calcPr calcId="145621"/>
</workbook>
</file>

<file path=xl/sharedStrings.xml><?xml version="1.0" encoding="utf-8"?>
<sst xmlns="http://schemas.openxmlformats.org/spreadsheetml/2006/main" count="1952" uniqueCount="365">
  <si>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</si>
  <si>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</si>
  <si>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</si>
  <si>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</si>
  <si>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</si>
  <si>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</si>
  <si>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0,001</t>
  </si>
  <si>
    <t>21</t>
  </si>
  <si>
    <t>15</t>
  </si>
  <si>
    <t>SOUHRNNÝ LIST STAVBY</t>
  </si>
  <si>
    <t>v ---  níže se nacházejí doplnkové a pomocné údaje k sestavám  --- v</t>
  </si>
  <si>
    <t>Kód:</t>
  </si>
  <si>
    <t>0,01</t>
  </si>
  <si>
    <t>Stavba:</t>
  </si>
  <si>
    <t>Kutná Hora ul.Česká</t>
  </si>
  <si>
    <t>0,1</t>
  </si>
  <si>
    <t>JKSO:</t>
  </si>
  <si>
    <t>CC-CZ:</t>
  </si>
  <si>
    <t>1</t>
  </si>
  <si>
    <t>Místo:</t>
  </si>
  <si>
    <t>Kutná Hora</t>
  </si>
  <si>
    <t>Datum:</t>
  </si>
  <si>
    <t>10</t>
  </si>
  <si>
    <t>100</t>
  </si>
  <si>
    <t>Objednavatel: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</si>
  <si>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</si>
  <si>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</si>
  <si>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</si>
  <si>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</si>
  <si>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</si>
  <si>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</si>
  <si>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</si>
  <si>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PROAGRO Pardubice s.r.o.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</si>
  <si>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</si>
  <si>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</si>
  <si>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</si>
  <si>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</si>
  <si>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</si>
  <si>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</si>
  <si>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</si>
  <si>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</si>
  <si>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</si>
  <si>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</si>
  <si>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</si>
  <si>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</si>
  <si>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</si>
  <si>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</si>
  <si>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</si>
  <si>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</si>
  <si>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</si>
  <si>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</si>
  <si>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</si>
  <si>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</si>
  <si>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</si>
  <si>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</si>
  <si>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</si>
  <si>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</si>
  <si>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</si>
  <si>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</si>
  <si>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</si>
  <si>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</si>
  <si>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</si>
  <si>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</si>
  <si>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</si>
  <si>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</si>
  <si>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</si>
  <si>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</si>
  <si>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</si>
  <si>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</si>
  <si>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</si>
  <si>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</si>
  <si>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</si>
  <si>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</si>
  <si>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</si>
  <si>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{455D0F68-FE62-4392-84D4-247AB705D7CF}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</si>
  <si>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</si>
  <si>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</si>
  <si>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</si>
  <si>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</si>
  <si>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</si>
  <si>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</si>
  <si>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</si>
  <si>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</si>
  <si>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</si>
  <si>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</si>
  <si>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</si>
  <si>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</si>
  <si>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</si>
  <si>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</si>
  <si>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</si>
  <si>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</si>
  <si>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HSV</t>
  </si>
  <si>
    <t xml:space="preserve">    1 - Zemní práce</t>
  </si>
  <si>
    <t xml:space="preserve">    96 - Bourání konstrukcí</t>
  </si>
  <si>
    <t xml:space="preserve">    997 - Přesun sutě</t>
  </si>
  <si>
    <t xml:space="preserve">    911 - Silniční obruba převýšená +2cm-nájezdy</t>
  </si>
  <si>
    <t xml:space="preserve">    912 - Silniční obruba převýšená +12 cm</t>
  </si>
  <si>
    <t xml:space="preserve">    901 - Žulová dvoulinka 64,4 m2</t>
  </si>
  <si>
    <t xml:space="preserve">    913 - Řezaná spára</t>
  </si>
  <si>
    <t xml:space="preserve">    914 - Záhonová obruba</t>
  </si>
  <si>
    <t xml:space="preserve">    502 - Chodníky pochůzné</t>
  </si>
  <si>
    <t xml:space="preserve">    501 - Chodníky pochůzné slepecké</t>
  </si>
  <si>
    <t xml:space="preserve">    915 - Lemovací dlažba COMCON CDR</t>
  </si>
  <si>
    <t xml:space="preserve">    503 - Vjezdy šedé</t>
  </si>
  <si>
    <t xml:space="preserve">    503-1 - Vjezdy slepecké</t>
  </si>
  <si>
    <t xml:space="preserve">    505 - Silnice žulová kostka velká</t>
  </si>
  <si>
    <t xml:space="preserve">    506 - parkovací záliv žulová kostka velká</t>
  </si>
  <si>
    <t xml:space="preserve">    18 - Sadové úpravy</t>
  </si>
  <si>
    <t xml:space="preserve">    89 - Výšková úprava poklopů a šoupat</t>
  </si>
  <si>
    <t xml:space="preserve">    87 - Uliční vpustě</t>
  </si>
  <si>
    <t xml:space="preserve">    46 - Kabelové  chráničky</t>
  </si>
  <si>
    <t xml:space="preserve">    91 - Dopravní značení</t>
  </si>
  <si>
    <t>VRN - Vedlejší rozpočtové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</si>
  <si>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</si>
  <si>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</si>
  <si>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</si>
  <si>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</si>
  <si>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</si>
  <si>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</si>
  <si>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</si>
  <si>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</si>
  <si>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</si>
  <si>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</si>
  <si>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</si>
  <si>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</si>
  <si>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</si>
  <si>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</si>
  <si>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</si>
  <si>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</si>
  <si>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</si>
  <si>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</si>
  <si>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122201103</t>
  </si>
  <si>
    <t>Odkopávky a prokopávky nezapažené v hornině tř. 3 objem do 5000 m3</t>
  </si>
  <si>
    <t>m3</t>
  </si>
  <si>
    <t>4</t>
  </si>
  <si>
    <t>122201109</t>
  </si>
  <si>
    <t>Příplatek za lepivost u odkopávek v hornině tř. 1 až 3</t>
  </si>
  <si>
    <t>3</t>
  </si>
  <si>
    <t>162701105</t>
  </si>
  <si>
    <t>Vodorovné přemístění do 10000 m výkopku/sypaniny z horniny tř. 1 až 4</t>
  </si>
  <si>
    <t>162701109</t>
  </si>
  <si>
    <t>Příplatek k vodorovnému přemístění výkopku/sypaniny z horniny tř. 1 až 4 ZKD 1000 m přes 10000 m</t>
  </si>
  <si>
    <t>VV</t>
  </si>
  <si>
    <t>5</t>
  </si>
  <si>
    <t>167101102</t>
  </si>
  <si>
    <t>Nakládání výkopku z hornin tř. 1 až 4 přes 100 m3</t>
  </si>
  <si>
    <t>6</t>
  </si>
  <si>
    <t>181202305</t>
  </si>
  <si>
    <t>Úprava pláně na násypech se zhutněním</t>
  </si>
  <si>
    <t>m2</t>
  </si>
  <si>
    <t>7</t>
  </si>
  <si>
    <t>171201201</t>
  </si>
  <si>
    <t>Uložení sypaniny na skládky</t>
  </si>
  <si>
    <t>8</t>
  </si>
  <si>
    <t>171201212</t>
  </si>
  <si>
    <t>Poplatek za uložení odpadu ze sypaniny na skládce (skládkovné)</t>
  </si>
  <si>
    <t>9</t>
  </si>
  <si>
    <t>113107241</t>
  </si>
  <si>
    <t>Odstranění podkladu pl přes 200 m2 živičných tl 50 mm</t>
  </si>
  <si>
    <t>113107242</t>
  </si>
  <si>
    <t>Odstranění podkladu pl přes 200 m2 živičných tl 100 mm</t>
  </si>
  <si>
    <t>11</t>
  </si>
  <si>
    <t>113106111</t>
  </si>
  <si>
    <t>Rozebrání dlažeb komunikací pro pěší z mozaiky</t>
  </si>
  <si>
    <t>12</t>
  </si>
  <si>
    <t>113106121</t>
  </si>
  <si>
    <t>Rozebrání dlažeb nebo dílců komunikací pro pěší z betonových nebo kamenných dlaždic</t>
  </si>
  <si>
    <t>13</t>
  </si>
  <si>
    <t>113201112</t>
  </si>
  <si>
    <t>Vytrhání obrub silničních ležatých</t>
  </si>
  <si>
    <t>m</t>
  </si>
  <si>
    <t>14</t>
  </si>
  <si>
    <t>113204111</t>
  </si>
  <si>
    <t>Vytrhání obrub záhonových</t>
  </si>
  <si>
    <t>979024443</t>
  </si>
  <si>
    <t>Očištění vybouraných obrubníků a krajníků silničních</t>
  </si>
  <si>
    <t>786,64+126,35</t>
  </si>
  <si>
    <t>16</t>
  </si>
  <si>
    <t>979054441</t>
  </si>
  <si>
    <t>Očištění vybouraných z desek nebo dlaždic s původním spárováním z kameniva těženého</t>
  </si>
  <si>
    <t>17</t>
  </si>
  <si>
    <t>899204211</t>
  </si>
  <si>
    <t>Demontáž mříží litinových včetně rámů hmotnosti přes 150 kg</t>
  </si>
  <si>
    <t>kus</t>
  </si>
  <si>
    <t>18</t>
  </si>
  <si>
    <t>997013501</t>
  </si>
  <si>
    <t>Odvoz suti na skládku a vybouraných hmot nebo meziskládku do 1 km se složením</t>
  </si>
  <si>
    <t>t</t>
  </si>
  <si>
    <t>19</t>
  </si>
  <si>
    <t>997013509</t>
  </si>
  <si>
    <t>Příplatek k odvozu suti a vybouraných hmot na skládku ZKD 1 km přes 1 km</t>
  </si>
  <si>
    <t>20</t>
  </si>
  <si>
    <t>997002611</t>
  </si>
  <si>
    <t>Nakládání suti a vybouraných hmot</t>
  </si>
  <si>
    <t>997013801</t>
  </si>
  <si>
    <t>Poplatek za uložení stavebního betonového odpadu na skládce (skládkovné)</t>
  </si>
  <si>
    <t>4,429</t>
  </si>
  <si>
    <t>27,668</t>
  </si>
  <si>
    <t>228,126</t>
  </si>
  <si>
    <t>5,054</t>
  </si>
  <si>
    <t>Součet</t>
  </si>
  <si>
    <t>22</t>
  </si>
  <si>
    <t>997013831</t>
  </si>
  <si>
    <t>Poplatek za uložení stavebního směsného odpadu na skládce (skládkovné)</t>
  </si>
  <si>
    <t>23</t>
  </si>
  <si>
    <t>997221845</t>
  </si>
  <si>
    <t>Poplatek za uložení odpadu z asfaltových povrchů na skládce (skládkovné)</t>
  </si>
  <si>
    <t>237,356</t>
  </si>
  <si>
    <t>251,653</t>
  </si>
  <si>
    <t>24</t>
  </si>
  <si>
    <t>916111113</t>
  </si>
  <si>
    <t>Osazení obruby z velkých kostek s boční opěrou do lože z betonu prostého</t>
  </si>
  <si>
    <t>M</t>
  </si>
  <si>
    <t>919731121</t>
  </si>
  <si>
    <t>Zarovnání styčné plochy podkladu nebo krytu živičného tl do 50 mm</t>
  </si>
  <si>
    <t>998223011</t>
  </si>
  <si>
    <t>Přesun hmot pro pozemní komunikace s krytem dlážděným</t>
  </si>
  <si>
    <t>583801610</t>
  </si>
  <si>
    <t>591141111</t>
  </si>
  <si>
    <t>583801100</t>
  </si>
  <si>
    <t>565231112</t>
  </si>
  <si>
    <t>Podklad ze štěrku částečně zpevněného cementovou maltou ŠCM tl 200 mm</t>
  </si>
  <si>
    <t>64,4/0,2</t>
  </si>
  <si>
    <t>919111233</t>
  </si>
  <si>
    <t>Řezání spár pro vytvoření komůrky š 20 mm hl 40 mm pro těsnící zálivku v CB krytu</t>
  </si>
  <si>
    <t>919121132</t>
  </si>
  <si>
    <t>Těsnění spár zálivkou za studena pro komůrky š 20 mm hl 40 mm s těsnicím profilem</t>
  </si>
  <si>
    <t>919731122</t>
  </si>
  <si>
    <t>Zarovnání styčné plochy podkladu nebo krytu živičného tl do 100 mm</t>
  </si>
  <si>
    <t>998225111</t>
  </si>
  <si>
    <t>Přesun hmot pro pozemní komunikace s krytem z kamene, monolitickým betonovým nebo živičným</t>
  </si>
  <si>
    <t>916231213</t>
  </si>
  <si>
    <t>Osazení chodníkového obrubníku betonového stojatého s boční opěrou do lože z betonu prostého</t>
  </si>
  <si>
    <t>592173050</t>
  </si>
  <si>
    <t>obrubník betonový zahradní přírodní šedá ABO 5-20 50x5x25 cm</t>
  </si>
  <si>
    <t>141,18*2*1,01</t>
  </si>
  <si>
    <t>591411111</t>
  </si>
  <si>
    <t>583800100</t>
  </si>
  <si>
    <t>128</t>
  </si>
  <si>
    <t>564861111</t>
  </si>
  <si>
    <t>Podklad ze štěrkodrtě ŠD tl 200 mm</t>
  </si>
  <si>
    <t>592450032</t>
  </si>
  <si>
    <t>592450031</t>
  </si>
  <si>
    <t>COMCON CDR 255*255*35 mm</t>
  </si>
  <si>
    <t>565221113</t>
  </si>
  <si>
    <t>Podklad ze štěrku částečně zpevněného cementovou maltou ŠCM tl 180 mm</t>
  </si>
  <si>
    <t>5649521141</t>
  </si>
  <si>
    <t>Podklad z mechanicky zpevněného kameniva MZK tl 180 mm</t>
  </si>
  <si>
    <t>64</t>
  </si>
  <si>
    <t>592450033</t>
  </si>
  <si>
    <t>181301101</t>
  </si>
  <si>
    <t>Rozprostření ornice pl do 500 m2 v rovině nebo ve svahu do 1:5 tl vrstvy do 100 mm</t>
  </si>
  <si>
    <t>103715000</t>
  </si>
  <si>
    <t>substrát pro trávníky A  VL</t>
  </si>
  <si>
    <t>181411131</t>
  </si>
  <si>
    <t>Založení parkového trávníku výsevem plochy do 1000 m2 v rovině a ve svahu do 1:5</t>
  </si>
  <si>
    <t>005724150</t>
  </si>
  <si>
    <t>osivo směs travní parková směs exclusive</t>
  </si>
  <si>
    <t>kg</t>
  </si>
  <si>
    <t>32,6*0,25</t>
  </si>
  <si>
    <t>899331111</t>
  </si>
  <si>
    <t>Výšková úprava uličního vstupu nebo vpusti do 200 mm zvýšením poklopu</t>
  </si>
  <si>
    <t>899431111</t>
  </si>
  <si>
    <t>Výšková úprava uličního vstupu nebo vpusti do 200 mm zvýšením krycího hrnce, šoupěte nebo hydrantu</t>
  </si>
  <si>
    <t>41+3+4</t>
  </si>
  <si>
    <t>998271301</t>
  </si>
  <si>
    <t>Přesun hmot pro kanalizace hloubené monolitické z betonu otevřený výkop</t>
  </si>
  <si>
    <t>721171908</t>
  </si>
  <si>
    <t>Potrubí z PVC vsazení odbočky do hrdla DN 200</t>
  </si>
  <si>
    <t>721171918</t>
  </si>
  <si>
    <t>Potrubí z PVC propojení potrubí DN 200</t>
  </si>
  <si>
    <t>894416111</t>
  </si>
  <si>
    <t>montáž uličních vpustí třídílných</t>
  </si>
  <si>
    <t>592238740</t>
  </si>
  <si>
    <t>koš pozink. C3 DIN 4052, vysoký, pro rám 500/300</t>
  </si>
  <si>
    <t>592238760</t>
  </si>
  <si>
    <t>rám zabetonovaný DIN 19583-9 500/500 mm</t>
  </si>
  <si>
    <t>592238780</t>
  </si>
  <si>
    <t>mříž M1 D400 DIN 19583-13, 500/500 mm</t>
  </si>
  <si>
    <t>460520133</t>
  </si>
  <si>
    <t>Osazení tvárnic kabelových betonových do rýhy s obsypem bez výkopových prací 4-otvorových</t>
  </si>
  <si>
    <t>592131000</t>
  </si>
  <si>
    <t>žlab kabelový betonový TK1 100 x 18,5/10 x 10 cm</t>
  </si>
  <si>
    <t>592131030</t>
  </si>
  <si>
    <t>deska krycí KD1 50 x 10 x 3,5 cm</t>
  </si>
  <si>
    <t>899722111</t>
  </si>
  <si>
    <t>Krytí potrubí z plastů výstražnou fólií z PVC 20 cm</t>
  </si>
  <si>
    <t>915321111</t>
  </si>
  <si>
    <t>Předformátované vodorovné dopravní značení přechod pro chodce</t>
  </si>
  <si>
    <t>915621111</t>
  </si>
  <si>
    <t>Předznačení vodorovného plošného značení</t>
  </si>
  <si>
    <t>030001000</t>
  </si>
  <si>
    <t>Zařízení staveniště</t>
  </si>
  <si>
    <t>512</t>
  </si>
  <si>
    <t>070001000</t>
  </si>
  <si>
    <t>provozní vlivy</t>
  </si>
  <si>
    <t>012103000</t>
  </si>
  <si>
    <t>Geodetické práce před výstavbou</t>
  </si>
  <si>
    <t>1024</t>
  </si>
  <si>
    <t>012303000</t>
  </si>
  <si>
    <t>013224000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</si>
  <si>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</si>
  <si>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</si>
  <si>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</si>
  <si>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</si>
  <si>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</si>
  <si>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</si>
  <si>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</si>
  <si>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Kladení dlažby z kostek velkých z kamene do lože z kamenné drti fr.4-8 tl 50 mm</t>
  </si>
  <si>
    <t>Dokumentace skutečného provedení stavby</t>
  </si>
  <si>
    <t>1397,710*1</t>
  </si>
  <si>
    <t>583803740</t>
  </si>
  <si>
    <t>871315221</t>
  </si>
  <si>
    <t>Kanalizační potrubí z tvrdého PVC-systém KG tuhost třídy SN8 DN150</t>
  </si>
  <si>
    <t>721290112</t>
  </si>
  <si>
    <t>Zkouška těsnosti potrubí kanalizace vodou do DN 150</t>
  </si>
  <si>
    <t>Rekonstrukce ulice Česká, Kutná Hora</t>
  </si>
  <si>
    <t>135,93/3</t>
  </si>
  <si>
    <t>664,31/3</t>
  </si>
  <si>
    <t>147,37/3</t>
  </si>
  <si>
    <t>1311,250/8,5</t>
  </si>
  <si>
    <t>COMCON CD60 200*200*60 mm</t>
  </si>
  <si>
    <t>COMCON CD30 255*255*35 mm</t>
  </si>
  <si>
    <t xml:space="preserve">    503 - Vjezdy</t>
  </si>
  <si>
    <t>Kladení dlažby do kroužku z kostek 100x140 mm z kamene do lože z kamenné drti fr.4-8 tl 50 mm</t>
  </si>
  <si>
    <t>Kladení dlažby do řádku z kostek 100x140 mm z kamene do lože z kamenné drti fr.4-8 tl 50 mm</t>
  </si>
  <si>
    <t>Příplatek za ruční výběr a opracování obrub žulových</t>
  </si>
  <si>
    <t>obrubník kamenný přímý, žula, OP7 12x25 VLASTNÍ ZDROJ INVESTORA</t>
  </si>
  <si>
    <t>Dovoz materiálu do 10 km se složením</t>
  </si>
  <si>
    <t xml:space="preserve">    901 - Žulová dvoulinka 64,4 m2 z kostek velkých</t>
  </si>
  <si>
    <t>Kladení dlažby z kostek velkých z kamene na MC tl 50 mm do řádku</t>
  </si>
  <si>
    <t>Nakládání žulových kostek</t>
  </si>
  <si>
    <t>kostka dlažební velká, žula velikost 10/14 VLASTNÍ ZDROJ INVESTORA</t>
  </si>
  <si>
    <t>Kladení dlažby do řádku z kostek 100x150 mm z kamene do lože z kamenné drti fr.4-8 tl 50 mm</t>
  </si>
  <si>
    <t>kostka dlažební velká, žula velikost 10/15 VLASTNÍ ZDROJ INVESTORA</t>
  </si>
  <si>
    <t>563,45/3,5</t>
  </si>
  <si>
    <t>966006132</t>
  </si>
  <si>
    <t>Odstranění značek dopravních nebo orientačních se sloupky s betonovými patkami</t>
  </si>
  <si>
    <t>914111111</t>
  </si>
  <si>
    <t>Montáž svislé dopravní značky do velikosti 1 m2 objímkami na sloupek nebo konzolu</t>
  </si>
  <si>
    <t>914511111</t>
  </si>
  <si>
    <t>Montáž sloupku dopravních značek délky do 3,5 m s betonovým základem</t>
  </si>
  <si>
    <t>Zřízení DIO po dobu výstavby 3 měsíce (cca 10x IP22 velká +5x IS11)</t>
  </si>
  <si>
    <t>kpl</t>
  </si>
  <si>
    <t>ks</t>
  </si>
  <si>
    <t>F100 - ZPEVNĚNÉ PLOCHY</t>
  </si>
  <si>
    <t>F100</t>
  </si>
  <si>
    <t>F100 ZPEVNĚNÉ PLOCHY</t>
  </si>
  <si>
    <t>1430,62/3,5-100</t>
  </si>
  <si>
    <t>kostka dlažební drobná, žula, I.jakost, velikost 15/17 cm 5,2m2/t VLASTNÍ ZDROJ INVESTORA</t>
  </si>
  <si>
    <t>,</t>
  </si>
  <si>
    <t>64,4/3</t>
  </si>
  <si>
    <r>
      <t>Kladení dlažby do</t>
    </r>
    <r>
      <rPr>
        <sz val="8"/>
        <color rgb="FFFF0000"/>
        <rFont val="Trebuchet MS"/>
        <family val="2"/>
      </rPr>
      <t xml:space="preserve"> řádku </t>
    </r>
    <r>
      <rPr>
        <sz val="8"/>
        <rFont val="Trebuchet MS"/>
        <family val="2"/>
      </rPr>
      <t>z mozaiky jednobarevné komunikací pro pěší lože z kameniva tl.30 mm</t>
    </r>
  </si>
  <si>
    <r>
      <t xml:space="preserve">mozaika dlažební, žula 4/6 cm </t>
    </r>
    <r>
      <rPr>
        <i/>
        <sz val="8"/>
        <color rgb="FFFF0000"/>
        <rFont val="Trebuchet MS"/>
        <family val="2"/>
      </rPr>
      <t>melír</t>
    </r>
  </si>
  <si>
    <r>
      <t>kostka dlažební velká, žula velikost 10/14</t>
    </r>
    <r>
      <rPr>
        <i/>
        <sz val="8"/>
        <color rgb="FFFF0000"/>
        <rFont val="Trebuchet MS"/>
        <family val="2"/>
      </rPr>
      <t xml:space="preserve"> melír </t>
    </r>
    <r>
      <rPr>
        <i/>
        <sz val="8"/>
        <color indexed="12"/>
        <rFont val="Trebuchet MS"/>
        <family val="2"/>
      </rPr>
      <t xml:space="preserve"> NÁKUP-(ZBYLÉ MNOŽSTVÍ VLASTNÍ ZDROJ INVESTORA)</t>
    </r>
  </si>
  <si>
    <t>592238520</t>
  </si>
  <si>
    <t>dno betonové pro uliční vpusť s kalovou prohlubní 45x30x5 cm</t>
  </si>
  <si>
    <t>592238540</t>
  </si>
  <si>
    <t>skruž betonová pro uliční vpusťs výtokovým otvorem PVC 450/350/3a, 45x35x5 cm</t>
  </si>
  <si>
    <t>592238580</t>
  </si>
  <si>
    <t>skruž betonová pro uliční vpusť horní  450/555/5d, 45x55x5 cm</t>
  </si>
  <si>
    <t>592238640</t>
  </si>
  <si>
    <t>prstenec betonový pro uliční vpusť vyrovnávací 390/60/10a, 39x6x5 cm</t>
  </si>
  <si>
    <t>COMCON CDR 255*255*60 mm</t>
  </si>
  <si>
    <t>Geodetické zaměření dokončené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</si>
</sst>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_ ;\-#,##0.00\ "/>
    <numFmt numFmtId="170" formatCode="#,##0.000_ ;\-#,##0.000\ "/>
    <numFmt numFmtId="171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2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sz val="10"/>
      <color indexed="16"/>
      <name val="Trebuchet MS"/>
      <family val="2"/>
    </font>
    <font>
      <b/>
      <sz val="11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  <font>
      <sz val="8"/>
      <color rgb="FFFF0000"/>
      <name val="Trebuchet MS"/>
      <family val="2"/>
    </font>
    <font>
      <i/>
      <sz val="8"/>
      <color rgb="FFFF0000"/>
      <name val="Trebuchet MS"/>
      <family val="2"/>
    </font>
    <font>
      <i/>
      <sz val="8"/>
      <color rgb="FF0000FF"/>
      <name val="Trebuchet MS"/>
      <family val="2"/>
    </font>
    <font>
      <sz val="8"/>
      <color rgb="FF0000FF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>
      <alignment/>
      <protection locked="0"/>
    </xf>
  </cellStyleXfs>
  <cellXfs count="250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165" fontId="11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14" fillId="0" borderId="1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164" fontId="16" fillId="0" borderId="13" xfId="0" applyNumberFormat="1" applyFont="1" applyBorder="1" applyAlignment="1" applyProtection="1">
      <alignment horizontal="right" vertical="center"/>
      <protection locked="0"/>
    </xf>
    <xf numFmtId="164" fontId="16" fillId="0" borderId="0" xfId="0" applyNumberFormat="1" applyFont="1" applyAlignment="1" applyProtection="1">
      <alignment horizontal="right" vertical="center"/>
      <protection locked="0"/>
    </xf>
    <xf numFmtId="167" fontId="16" fillId="0" borderId="0" xfId="0" applyNumberFormat="1" applyFont="1" applyAlignment="1" applyProtection="1">
      <alignment horizontal="right" vertical="center"/>
      <protection locked="0"/>
    </xf>
    <xf numFmtId="164" fontId="16" fillId="0" borderId="14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164" fontId="21" fillId="0" borderId="15" xfId="0" applyNumberFormat="1" applyFont="1" applyBorder="1" applyAlignment="1" applyProtection="1">
      <alignment horizontal="right" vertical="center"/>
      <protection locked="0"/>
    </xf>
    <xf numFmtId="164" fontId="21" fillId="0" borderId="16" xfId="0" applyNumberFormat="1" applyFont="1" applyBorder="1" applyAlignment="1" applyProtection="1">
      <alignment horizontal="right" vertical="center"/>
      <protection locked="0"/>
    </xf>
    <xf numFmtId="167" fontId="21" fillId="0" borderId="16" xfId="0" applyNumberFormat="1" applyFont="1" applyBorder="1" applyAlignment="1" applyProtection="1">
      <alignment horizontal="right" vertical="center"/>
      <protection locked="0"/>
    </xf>
    <xf numFmtId="164" fontId="21" fillId="0" borderId="17" xfId="0" applyNumberFormat="1" applyFont="1" applyBorder="1" applyAlignment="1" applyProtection="1">
      <alignment horizontal="right" vertical="center"/>
      <protection locked="0"/>
    </xf>
    <xf numFmtId="0" fontId="17" fillId="3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7" fillId="3" borderId="9" xfId="0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3" fillId="0" borderId="4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25" fillId="0" borderId="4" xfId="0" applyFont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5" fillId="0" borderId="5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6" fillId="3" borderId="21" xfId="0" applyFont="1" applyFill="1" applyBorder="1" applyAlignment="1" applyProtection="1">
      <alignment horizontal="center" vertical="center" wrapText="1"/>
      <protection locked="0"/>
    </xf>
    <xf numFmtId="0" fontId="6" fillId="3" borderId="22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167" fontId="26" fillId="0" borderId="11" xfId="0" applyNumberFormat="1" applyFont="1" applyBorder="1" applyAlignment="1" applyProtection="1">
      <alignment horizontal="right"/>
      <protection locked="0"/>
    </xf>
    <xf numFmtId="167" fontId="26" fillId="0" borderId="12" xfId="0" applyNumberFormat="1" applyFont="1" applyBorder="1" applyAlignment="1" applyProtection="1">
      <alignment horizontal="right"/>
      <protection locked="0"/>
    </xf>
    <xf numFmtId="168" fontId="27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4" fillId="0" borderId="4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5" xfId="0" applyFont="1" applyBorder="1" applyAlignment="1" applyProtection="1">
      <alignment horizontal="left"/>
      <protection locked="0"/>
    </xf>
    <xf numFmtId="0" fontId="24" fillId="0" borderId="13" xfId="0" applyFont="1" applyBorder="1" applyAlignment="1" applyProtection="1">
      <alignment horizontal="left"/>
      <protection locked="0"/>
    </xf>
    <xf numFmtId="167" fontId="24" fillId="0" borderId="0" xfId="0" applyNumberFormat="1" applyFont="1" applyAlignment="1" applyProtection="1">
      <alignment horizontal="right"/>
      <protection locked="0"/>
    </xf>
    <xf numFmtId="167" fontId="24" fillId="0" borderId="14" xfId="0" applyNumberFormat="1" applyFont="1" applyBorder="1" applyAlignment="1" applyProtection="1">
      <alignment horizontal="right"/>
      <protection locked="0"/>
    </xf>
    <xf numFmtId="168" fontId="24" fillId="0" borderId="0" xfId="0" applyNumberFormat="1" applyFont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8" fontId="0" fillId="0" borderId="24" xfId="0" applyNumberFormat="1" applyFont="1" applyBorder="1" applyAlignment="1" applyProtection="1">
      <alignment horizontal="righ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167" fontId="11" fillId="0" borderId="0" xfId="0" applyNumberFormat="1" applyFont="1" applyAlignment="1" applyProtection="1">
      <alignment horizontal="right" vertical="center"/>
      <protection locked="0"/>
    </xf>
    <xf numFmtId="167" fontId="11" fillId="0" borderId="14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68" fontId="0" fillId="0" borderId="0" xfId="0" applyNumberFormat="1" applyFont="1" applyAlignment="1" applyProtection="1">
      <alignment horizontal="right" vertical="center"/>
      <protection locked="0"/>
    </xf>
    <xf numFmtId="0" fontId="28" fillId="0" borderId="4" xfId="0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168" fontId="28" fillId="0" borderId="0" xfId="0" applyNumberFormat="1" applyFont="1" applyAlignment="1" applyProtection="1">
      <alignment horizontal="right" vertical="center"/>
      <protection locked="0"/>
    </xf>
    <xf numFmtId="0" fontId="28" fillId="0" borderId="5" xfId="0" applyFont="1" applyBorder="1" applyAlignment="1" applyProtection="1">
      <alignment horizontal="left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28" fillId="0" borderId="14" xfId="0" applyFont="1" applyBorder="1" applyAlignment="1" applyProtection="1">
      <alignment horizontal="left" vertical="center"/>
      <protection locked="0"/>
    </xf>
    <xf numFmtId="0" fontId="29" fillId="0" borderId="4" xfId="0" applyFont="1" applyBorder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168" fontId="29" fillId="0" borderId="0" xfId="0" applyNumberFormat="1" applyFont="1" applyAlignment="1" applyProtection="1">
      <alignment horizontal="right" vertical="center"/>
      <protection locked="0"/>
    </xf>
    <xf numFmtId="0" fontId="29" fillId="0" borderId="5" xfId="0" applyFont="1" applyBorder="1" applyAlignment="1" applyProtection="1">
      <alignment horizontal="left" vertical="center"/>
      <protection locked="0"/>
    </xf>
    <xf numFmtId="0" fontId="29" fillId="0" borderId="13" xfId="0" applyFont="1" applyBorder="1" applyAlignment="1" applyProtection="1">
      <alignment horizontal="left" vertical="center"/>
      <protection locked="0"/>
    </xf>
    <xf numFmtId="0" fontId="29" fillId="0" borderId="14" xfId="0" applyFont="1" applyBorder="1" applyAlignment="1" applyProtection="1">
      <alignment horizontal="left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49" fontId="30" fillId="0" borderId="24" xfId="0" applyNumberFormat="1" applyFont="1" applyBorder="1" applyAlignment="1" applyProtection="1">
      <alignment horizontal="left" vertical="center" wrapText="1"/>
      <protection locked="0"/>
    </xf>
    <xf numFmtId="0" fontId="30" fillId="0" borderId="24" xfId="0" applyFont="1" applyBorder="1" applyAlignment="1" applyProtection="1">
      <alignment horizontal="center" vertical="center" wrapText="1"/>
      <protection locked="0"/>
    </xf>
    <xf numFmtId="168" fontId="30" fillId="0" borderId="24" xfId="0" applyNumberFormat="1" applyFont="1" applyBorder="1" applyAlignment="1" applyProtection="1">
      <alignment horizontal="right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167" fontId="11" fillId="0" borderId="16" xfId="0" applyNumberFormat="1" applyFont="1" applyBorder="1" applyAlignment="1" applyProtection="1">
      <alignment horizontal="right" vertical="center"/>
      <protection locked="0"/>
    </xf>
    <xf numFmtId="167" fontId="11" fillId="0" borderId="17" xfId="0" applyNumberFormat="1" applyFont="1" applyBorder="1" applyAlignment="1" applyProtection="1">
      <alignment horizontal="right" vertical="center"/>
      <protection locked="0"/>
    </xf>
    <xf numFmtId="0" fontId="34" fillId="0" borderId="0" xfId="2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31" fillId="2" borderId="0" xfId="0" applyFont="1" applyFill="1" applyAlignment="1" applyProtection="1">
      <alignment horizontal="left" vertical="center"/>
      <protection/>
    </xf>
    <xf numFmtId="0" fontId="35" fillId="2" borderId="0" xfId="20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68" fontId="0" fillId="0" borderId="0" xfId="0" applyNumberFormat="1" applyFont="1" applyFill="1" applyBorder="1" applyAlignment="1" applyProtection="1">
      <alignment horizontal="left" vertical="center"/>
      <protection locked="0"/>
    </xf>
    <xf numFmtId="2" fontId="3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2" fontId="10" fillId="0" borderId="0" xfId="0" applyNumberFormat="1" applyFont="1" applyFill="1" applyBorder="1" applyAlignment="1" applyProtection="1">
      <alignment horizontal="left" vertical="center"/>
      <protection locked="0"/>
    </xf>
    <xf numFmtId="169" fontId="7" fillId="0" borderId="0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14" fontId="6" fillId="0" borderId="0" xfId="0" applyNumberFormat="1" applyFont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71" fontId="0" fillId="0" borderId="25" xfId="0" applyNumberFormat="1" applyFont="1" applyBorder="1" applyAlignment="1" applyProtection="1">
      <alignment vertical="center"/>
      <protection/>
    </xf>
    <xf numFmtId="170" fontId="0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0" fillId="0" borderId="24" xfId="0" applyFont="1" applyFill="1" applyBorder="1" applyAlignment="1" applyProtection="1">
      <alignment horizontal="center" vertical="center"/>
      <protection locked="0"/>
    </xf>
    <xf numFmtId="49" fontId="30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24" xfId="0" applyFont="1" applyFill="1" applyBorder="1" applyAlignment="1" applyProtection="1">
      <alignment horizontal="center" vertical="center" wrapText="1"/>
      <protection locked="0"/>
    </xf>
    <xf numFmtId="168" fontId="30" fillId="0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8" fillId="4" borderId="24" xfId="0" applyFont="1" applyFill="1" applyBorder="1" applyAlignment="1" applyProtection="1">
      <alignment horizontal="center" vertical="center"/>
      <protection locked="0"/>
    </xf>
    <xf numFmtId="49" fontId="38" fillId="4" borderId="24" xfId="0" applyNumberFormat="1" applyFont="1" applyFill="1" applyBorder="1" applyAlignment="1" applyProtection="1">
      <alignment horizontal="left" vertical="center" wrapText="1"/>
      <protection locked="0"/>
    </xf>
    <xf numFmtId="0" fontId="38" fillId="4" borderId="24" xfId="0" applyFont="1" applyFill="1" applyBorder="1" applyAlignment="1" applyProtection="1">
      <alignment horizontal="center" vertical="center" wrapText="1"/>
      <protection locked="0"/>
    </xf>
    <xf numFmtId="168" fontId="38" fillId="4" borderId="24" xfId="0" applyNumberFormat="1" applyFont="1" applyFill="1" applyBorder="1" applyAlignment="1" applyProtection="1">
      <alignment horizontal="right" vertical="center"/>
      <protection locked="0"/>
    </xf>
    <xf numFmtId="0" fontId="30" fillId="4" borderId="24" xfId="0" applyFont="1" applyFill="1" applyBorder="1" applyAlignment="1" applyProtection="1">
      <alignment horizontal="center" vertical="center"/>
      <protection locked="0"/>
    </xf>
    <xf numFmtId="49" fontId="30" fillId="4" borderId="24" xfId="0" applyNumberFormat="1" applyFont="1" applyFill="1" applyBorder="1" applyAlignment="1" applyProtection="1">
      <alignment horizontal="left" vertical="center" wrapText="1"/>
      <protection locked="0"/>
    </xf>
    <xf numFmtId="0" fontId="30" fillId="4" borderId="24" xfId="0" applyFont="1" applyFill="1" applyBorder="1" applyAlignment="1" applyProtection="1">
      <alignment horizontal="center" vertical="center" wrapText="1"/>
      <protection locked="0"/>
    </xf>
    <xf numFmtId="168" fontId="30" fillId="4" borderId="24" xfId="0" applyNumberFormat="1" applyFont="1" applyFill="1" applyBorder="1" applyAlignment="1" applyProtection="1">
      <alignment horizontal="right" vertical="center"/>
      <protection locked="0"/>
    </xf>
    <xf numFmtId="164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164" fontId="9" fillId="0" borderId="0" xfId="0" applyNumberFormat="1" applyFont="1" applyAlignment="1" applyProtection="1">
      <alignment horizontal="right" vertical="center"/>
      <protection locked="0"/>
    </xf>
    <xf numFmtId="165" fontId="11" fillId="0" borderId="0" xfId="0" applyNumberFormat="1" applyFont="1" applyAlignment="1" applyProtection="1">
      <alignment horizontal="righ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164" fontId="7" fillId="3" borderId="9" xfId="0" applyNumberFormat="1" applyFont="1" applyFill="1" applyBorder="1" applyAlignment="1" applyProtection="1">
      <alignment horizontal="right" vertical="center"/>
      <protection locked="0"/>
    </xf>
    <xf numFmtId="0" fontId="0" fillId="3" borderId="26" xfId="0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164" fontId="17" fillId="0" borderId="0" xfId="0" applyNumberFormat="1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164" fontId="17" fillId="3" borderId="0" xfId="0" applyNumberFormat="1" applyFont="1" applyFill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164" fontId="20" fillId="0" borderId="0" xfId="0" applyNumberFormat="1" applyFont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164" fontId="10" fillId="0" borderId="7" xfId="0" applyNumberFormat="1" applyFon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38" fillId="4" borderId="21" xfId="0" applyFont="1" applyFill="1" applyBorder="1" applyAlignment="1" applyProtection="1">
      <alignment horizontal="left" vertical="center" wrapText="1"/>
      <protection locked="0"/>
    </xf>
    <xf numFmtId="0" fontId="38" fillId="4" borderId="22" xfId="0" applyFont="1" applyFill="1" applyBorder="1" applyAlignment="1" applyProtection="1">
      <alignment horizontal="left" vertical="center" wrapText="1"/>
      <protection locked="0"/>
    </xf>
    <xf numFmtId="0" fontId="38" fillId="4" borderId="23" xfId="0" applyFont="1" applyFill="1" applyBorder="1" applyAlignment="1" applyProtection="1">
      <alignment horizontal="left" vertical="center" wrapText="1"/>
      <protection locked="0"/>
    </xf>
    <xf numFmtId="168" fontId="38" fillId="4" borderId="21" xfId="0" applyNumberFormat="1" applyFont="1" applyFill="1" applyBorder="1" applyAlignment="1" applyProtection="1">
      <alignment horizontal="right" vertical="center"/>
      <protection locked="0"/>
    </xf>
    <xf numFmtId="168" fontId="38" fillId="4" borderId="23" xfId="0" applyNumberFormat="1" applyFont="1" applyFill="1" applyBorder="1" applyAlignment="1" applyProtection="1">
      <alignment horizontal="right" vertical="center"/>
      <protection locked="0"/>
    </xf>
    <xf numFmtId="168" fontId="38" fillId="4" borderId="22" xfId="0" applyNumberFormat="1" applyFont="1" applyFill="1" applyBorder="1" applyAlignment="1" applyProtection="1">
      <alignment horizontal="right" vertical="center"/>
      <protection locked="0"/>
    </xf>
    <xf numFmtId="0" fontId="38" fillId="4" borderId="24" xfId="0" applyFont="1" applyFill="1" applyBorder="1" applyAlignment="1" applyProtection="1">
      <alignment horizontal="left" vertical="center" wrapText="1"/>
      <protection locked="0"/>
    </xf>
    <xf numFmtId="0" fontId="38" fillId="4" borderId="24" xfId="0" applyFont="1" applyFill="1" applyBorder="1" applyAlignment="1" applyProtection="1">
      <alignment horizontal="left" vertical="center"/>
      <protection locked="0"/>
    </xf>
    <xf numFmtId="168" fontId="38" fillId="4" borderId="24" xfId="0" applyNumberFormat="1" applyFont="1" applyFill="1" applyBorder="1" applyAlignment="1" applyProtection="1">
      <alignment horizontal="right" vertical="center"/>
      <protection locked="0"/>
    </xf>
    <xf numFmtId="0" fontId="39" fillId="4" borderId="24" xfId="0" applyFont="1" applyFill="1" applyBorder="1" applyAlignment="1" applyProtection="1">
      <alignment horizontal="left" vertical="center"/>
      <protection locked="0"/>
    </xf>
    <xf numFmtId="164" fontId="10" fillId="0" borderId="0" xfId="0" applyNumberFormat="1" applyFont="1" applyAlignment="1" applyProtection="1">
      <alignment horizontal="right" vertical="center"/>
      <protection locked="0"/>
    </xf>
    <xf numFmtId="164" fontId="11" fillId="0" borderId="0" xfId="0" applyNumberFormat="1" applyFont="1" applyAlignment="1" applyProtection="1">
      <alignment horizontal="right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164" fontId="23" fillId="0" borderId="0" xfId="0" applyNumberFormat="1" applyFont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164" fontId="25" fillId="0" borderId="0" xfId="0" applyNumberFormat="1" applyFont="1" applyAlignment="1" applyProtection="1">
      <alignment horizontal="right" vertical="center"/>
      <protection locked="0"/>
    </xf>
    <xf numFmtId="0" fontId="6" fillId="3" borderId="22" xfId="0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168" fontId="0" fillId="0" borderId="24" xfId="0" applyNumberFormat="1" applyFont="1" applyBorder="1" applyAlignment="1" applyProtection="1">
      <alignment horizontal="right" vertical="center"/>
      <protection locked="0"/>
    </xf>
    <xf numFmtId="168" fontId="17" fillId="0" borderId="0" xfId="0" applyNumberFormat="1" applyFont="1" applyAlignment="1" applyProtection="1">
      <alignment horizontal="right"/>
      <protection locked="0"/>
    </xf>
    <xf numFmtId="168" fontId="23" fillId="0" borderId="0" xfId="0" applyNumberFormat="1" applyFont="1" applyAlignment="1" applyProtection="1">
      <alignment horizontal="right"/>
      <protection locked="0"/>
    </xf>
    <xf numFmtId="0" fontId="24" fillId="0" borderId="0" xfId="0" applyFont="1" applyAlignment="1" applyProtection="1">
      <alignment horizontal="left"/>
      <protection locked="0"/>
    </xf>
    <xf numFmtId="168" fontId="25" fillId="0" borderId="0" xfId="0" applyNumberFormat="1" applyFont="1" applyAlignment="1" applyProtection="1">
      <alignment horizontal="right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24" xfId="0" applyFont="1" applyBorder="1" applyAlignment="1" applyProtection="1">
      <alignment horizontal="left" vertical="center" wrapText="1"/>
      <protection locked="0"/>
    </xf>
    <xf numFmtId="0" fontId="30" fillId="0" borderId="24" xfId="0" applyFont="1" applyBorder="1" applyAlignment="1" applyProtection="1">
      <alignment horizontal="left" vertical="center"/>
      <protection locked="0"/>
    </xf>
    <xf numFmtId="168" fontId="30" fillId="0" borderId="24" xfId="0" applyNumberFormat="1" applyFont="1" applyBorder="1" applyAlignment="1" applyProtection="1">
      <alignment horizontal="right" vertical="center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30" fillId="0" borderId="24" xfId="0" applyFont="1" applyBorder="1" applyAlignment="1" applyProtection="1">
      <alignment horizontal="left" vertical="center" wrapText="1"/>
      <protection locked="0"/>
    </xf>
    <xf numFmtId="0" fontId="30" fillId="4" borderId="24" xfId="0" applyFont="1" applyFill="1" applyBorder="1" applyAlignment="1" applyProtection="1">
      <alignment horizontal="left" vertical="center" wrapText="1"/>
      <protection locked="0"/>
    </xf>
    <xf numFmtId="0" fontId="30" fillId="4" borderId="24" xfId="0" applyFont="1" applyFill="1" applyBorder="1" applyAlignment="1" applyProtection="1">
      <alignment horizontal="left" vertical="center"/>
      <protection locked="0"/>
    </xf>
    <xf numFmtId="168" fontId="30" fillId="4" borderId="24" xfId="0" applyNumberFormat="1" applyFont="1" applyFill="1" applyBorder="1" applyAlignment="1" applyProtection="1">
      <alignment horizontal="right" vertical="center"/>
      <protection locked="0"/>
    </xf>
    <xf numFmtId="0" fontId="0" fillId="4" borderId="24" xfId="0" applyFill="1" applyBorder="1" applyAlignment="1" applyProtection="1">
      <alignment horizontal="left" vertical="center"/>
      <protection locked="0"/>
    </xf>
    <xf numFmtId="0" fontId="30" fillId="0" borderId="24" xfId="0" applyFont="1" applyFill="1" applyBorder="1" applyAlignment="1" applyProtection="1">
      <alignment horizontal="left" vertical="center" wrapText="1"/>
      <protection locked="0"/>
    </xf>
    <xf numFmtId="0" fontId="30" fillId="0" borderId="24" xfId="0" applyFont="1" applyFill="1" applyBorder="1" applyAlignment="1" applyProtection="1">
      <alignment horizontal="left" vertical="center"/>
      <protection locked="0"/>
    </xf>
    <xf numFmtId="168" fontId="30" fillId="0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171" fontId="0" fillId="0" borderId="25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35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064" name="Obrázek 1" descr="C:\KROSplusData\System\Temp\radFD95C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723900" cy="285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2088" name="Obrázek 1" descr="C:\KROSplusData\System\Temp\rad099E1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723900" cy="285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3"/>
  <sheetViews>
    <sheetView showGridLines="0" workbookViewId="0" topLeftCell="A1">
      <pane ySplit="1" topLeftCell="A129" activePane="bottomLeft" state="frozen"/>
      <selection pane="bottomLeft" activeCell="BE49" sqref="BE49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33" t="s">
        <v>0</v>
      </c>
      <c r="B1" s="134"/>
      <c r="C1" s="134"/>
      <c r="D1" s="135" t="s">
        <v>1</v>
      </c>
      <c r="E1" s="134"/>
      <c r="F1" s="134"/>
      <c r="G1" s="134"/>
      <c r="H1" s="134"/>
      <c r="I1" s="134"/>
      <c r="J1" s="134"/>
      <c r="K1" s="136" t="s">
        <v>301</v>
      </c>
      <c r="L1" s="136"/>
      <c r="M1" s="136"/>
      <c r="N1" s="136"/>
      <c r="O1" s="136"/>
      <c r="P1" s="136"/>
      <c r="Q1" s="136"/>
      <c r="R1" s="136"/>
      <c r="S1" s="136"/>
      <c r="T1" s="134"/>
      <c r="U1" s="134"/>
      <c r="V1" s="134"/>
      <c r="W1" s="136" t="s">
        <v>302</v>
      </c>
      <c r="X1" s="136"/>
      <c r="Y1" s="136"/>
      <c r="Z1" s="136"/>
      <c r="AA1" s="136"/>
      <c r="AB1" s="136"/>
      <c r="AC1" s="136"/>
      <c r="AD1" s="136"/>
      <c r="AE1" s="136"/>
      <c r="AF1" s="136"/>
      <c r="AG1" s="134"/>
      <c r="AH1" s="134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72" t="s">
        <v>4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R2" s="196" t="s">
        <v>5</v>
      </c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74" t="s">
        <v>9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1"/>
      <c r="AS4" s="12" t="s">
        <v>10</v>
      </c>
      <c r="BS4" s="6" t="s">
        <v>6</v>
      </c>
    </row>
    <row r="5" spans="2:71" s="2" customFormat="1" ht="15" customHeight="1">
      <c r="B5" s="10"/>
      <c r="D5" s="13" t="s">
        <v>11</v>
      </c>
      <c r="K5" s="175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Q5" s="11"/>
      <c r="BS5" s="6" t="s">
        <v>12</v>
      </c>
    </row>
    <row r="6" spans="2:71" s="2" customFormat="1" ht="37.5" customHeight="1">
      <c r="B6" s="10"/>
      <c r="D6" s="15" t="s">
        <v>13</v>
      </c>
      <c r="K6" s="176" t="s">
        <v>316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Q6" s="11"/>
      <c r="BS6" s="6" t="s">
        <v>15</v>
      </c>
    </row>
    <row r="7" spans="2:71" s="2" customFormat="1" ht="15" customHeight="1">
      <c r="B7" s="10"/>
      <c r="D7" s="16" t="s">
        <v>16</v>
      </c>
      <c r="K7" s="155" t="s">
        <v>345</v>
      </c>
      <c r="AK7" s="16" t="s">
        <v>17</v>
      </c>
      <c r="AN7" s="14"/>
      <c r="AQ7" s="11"/>
      <c r="BS7" s="6" t="s">
        <v>18</v>
      </c>
    </row>
    <row r="8" spans="2:71" s="2" customFormat="1" ht="15" customHeight="1">
      <c r="B8" s="10"/>
      <c r="D8" s="16" t="s">
        <v>19</v>
      </c>
      <c r="K8" s="14" t="s">
        <v>20</v>
      </c>
      <c r="AK8" s="16" t="s">
        <v>21</v>
      </c>
      <c r="AN8" s="149">
        <v>42803</v>
      </c>
      <c r="AQ8" s="11"/>
      <c r="BS8" s="6" t="s">
        <v>22</v>
      </c>
    </row>
    <row r="9" spans="2:71" s="2" customFormat="1" ht="15" customHeight="1">
      <c r="B9" s="10"/>
      <c r="AQ9" s="11"/>
      <c r="BS9" s="6" t="s">
        <v>23</v>
      </c>
    </row>
    <row r="10" spans="2:71" s="2" customFormat="1" ht="15" customHeight="1">
      <c r="B10" s="10"/>
      <c r="D10" s="16" t="s">
        <v>24</v>
      </c>
      <c r="AK10" s="16" t="s">
        <v>25</v>
      </c>
      <c r="AN10" s="14"/>
      <c r="AQ10" s="11"/>
      <c r="BS10" s="6" t="s">
        <v>15</v>
      </c>
    </row>
    <row r="11" spans="2:71" s="2" customFormat="1" ht="19.5" customHeight="1">
      <c r="B11" s="10"/>
      <c r="E11" s="14" t="s">
        <v>26</v>
      </c>
      <c r="AK11" s="16" t="s">
        <v>27</v>
      </c>
      <c r="AN11" s="14"/>
      <c r="AQ11" s="11"/>
      <c r="BS11" s="6" t="s">
        <v>15</v>
      </c>
    </row>
    <row r="12" spans="2:71" s="2" customFormat="1" ht="7.5" customHeight="1">
      <c r="B12" s="10"/>
      <c r="AQ12" s="11"/>
      <c r="BS12" s="6" t="s">
        <v>15</v>
      </c>
    </row>
    <row r="13" spans="2:71" s="2" customFormat="1" ht="15" customHeight="1">
      <c r="B13" s="10"/>
      <c r="D13" s="16" t="s">
        <v>28</v>
      </c>
      <c r="AK13" s="16" t="s">
        <v>25</v>
      </c>
      <c r="AN13" s="14"/>
      <c r="AQ13" s="11"/>
      <c r="BS13" s="6" t="s">
        <v>15</v>
      </c>
    </row>
    <row r="14" spans="2:71" s="2" customFormat="1" ht="15.75" customHeight="1">
      <c r="B14" s="10"/>
      <c r="E14" s="14" t="s">
        <v>26</v>
      </c>
      <c r="AK14" s="16" t="s">
        <v>27</v>
      </c>
      <c r="AN14" s="14"/>
      <c r="AQ14" s="11"/>
      <c r="BS14" s="6" t="s">
        <v>15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29</v>
      </c>
      <c r="AK16" s="16" t="s">
        <v>25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26</v>
      </c>
      <c r="AK17" s="16" t="s">
        <v>27</v>
      </c>
      <c r="AN17" s="14"/>
      <c r="AQ17" s="11"/>
      <c r="BS17" s="6" t="s">
        <v>30</v>
      </c>
    </row>
    <row r="18" spans="2:71" s="2" customFormat="1" ht="7.5" customHeight="1">
      <c r="B18" s="10"/>
      <c r="AQ18" s="11"/>
      <c r="BS18" s="6" t="s">
        <v>12</v>
      </c>
    </row>
    <row r="19" spans="2:71" s="2" customFormat="1" ht="15" customHeight="1">
      <c r="B19" s="10"/>
      <c r="D19" s="16" t="s">
        <v>31</v>
      </c>
      <c r="AK19" s="16" t="s">
        <v>25</v>
      </c>
      <c r="AN19" s="14"/>
      <c r="AQ19" s="11"/>
      <c r="BS19" s="6" t="s">
        <v>12</v>
      </c>
    </row>
    <row r="20" spans="2:43" s="2" customFormat="1" ht="19.5" customHeight="1">
      <c r="B20" s="10"/>
      <c r="E20" s="14" t="s">
        <v>32</v>
      </c>
      <c r="AK20" s="16" t="s">
        <v>27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7.5" customHeight="1">
      <c r="B22" s="1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Q22" s="11"/>
    </row>
    <row r="23" spans="2:43" s="2" customFormat="1" ht="15" customHeight="1">
      <c r="B23" s="10"/>
      <c r="D23" s="18" t="s">
        <v>33</v>
      </c>
      <c r="AK23" s="177">
        <f>ROUND($AG$87,2)</f>
        <v>0</v>
      </c>
      <c r="AL23" s="173"/>
      <c r="AM23" s="173"/>
      <c r="AN23" s="173"/>
      <c r="AO23" s="173"/>
      <c r="AQ23" s="11"/>
    </row>
    <row r="24" spans="2:43" s="2" customFormat="1" ht="15" customHeight="1">
      <c r="B24" s="10"/>
      <c r="D24" s="18" t="s">
        <v>34</v>
      </c>
      <c r="AK24" s="177">
        <f>ROUND($AG$90,2)</f>
        <v>0</v>
      </c>
      <c r="AL24" s="173"/>
      <c r="AM24" s="173"/>
      <c r="AN24" s="173"/>
      <c r="AO24" s="173"/>
      <c r="AQ24" s="11"/>
    </row>
    <row r="25" spans="2:43" s="6" customFormat="1" ht="7.5" customHeight="1">
      <c r="B25" s="19"/>
      <c r="AQ25" s="20"/>
    </row>
    <row r="26" spans="2:43" s="6" customFormat="1" ht="27" customHeight="1">
      <c r="B26" s="19"/>
      <c r="D26" s="21" t="s">
        <v>35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02">
        <f>ROUND($AK$23+$AK$24,2)</f>
        <v>0</v>
      </c>
      <c r="AL26" s="203"/>
      <c r="AM26" s="203"/>
      <c r="AN26" s="203"/>
      <c r="AO26" s="203"/>
      <c r="AQ26" s="20"/>
    </row>
    <row r="27" spans="2:43" s="6" customFormat="1" ht="7.5" customHeight="1">
      <c r="B27" s="19"/>
      <c r="AQ27" s="20"/>
    </row>
    <row r="28" spans="2:43" s="6" customFormat="1" ht="15" customHeight="1">
      <c r="B28" s="23"/>
      <c r="D28" s="24" t="s">
        <v>36</v>
      </c>
      <c r="F28" s="24" t="s">
        <v>37</v>
      </c>
      <c r="L28" s="178">
        <v>0.21</v>
      </c>
      <c r="M28" s="171"/>
      <c r="N28" s="171"/>
      <c r="O28" s="171"/>
      <c r="T28" s="26" t="s">
        <v>38</v>
      </c>
      <c r="W28" s="170">
        <f>ROUND($AZ$87+SUM($CD$91:$CD$91),2)</f>
        <v>0</v>
      </c>
      <c r="X28" s="171"/>
      <c r="Y28" s="171"/>
      <c r="Z28" s="171"/>
      <c r="AA28" s="171"/>
      <c r="AB28" s="171"/>
      <c r="AC28" s="171"/>
      <c r="AD28" s="171"/>
      <c r="AE28" s="171"/>
      <c r="AK28" s="170">
        <f>ROUND($AV$87+SUM($BY$91:$BY$91),2)</f>
        <v>0</v>
      </c>
      <c r="AL28" s="171"/>
      <c r="AM28" s="171"/>
      <c r="AN28" s="171"/>
      <c r="AO28" s="171"/>
      <c r="AQ28" s="27"/>
    </row>
    <row r="29" spans="2:43" s="6" customFormat="1" ht="15" customHeight="1">
      <c r="B29" s="23"/>
      <c r="F29" s="24" t="s">
        <v>39</v>
      </c>
      <c r="L29" s="178">
        <v>0.15</v>
      </c>
      <c r="M29" s="171"/>
      <c r="N29" s="171"/>
      <c r="O29" s="171"/>
      <c r="T29" s="26" t="s">
        <v>38</v>
      </c>
      <c r="W29" s="170">
        <f>ROUND($BA$87+SUM($CE$91:$CE$91),2)</f>
        <v>0</v>
      </c>
      <c r="X29" s="171"/>
      <c r="Y29" s="171"/>
      <c r="Z29" s="171"/>
      <c r="AA29" s="171"/>
      <c r="AB29" s="171"/>
      <c r="AC29" s="171"/>
      <c r="AD29" s="171"/>
      <c r="AE29" s="171"/>
      <c r="AK29" s="170">
        <f>ROUND($AW$87+SUM($BZ$91:$BZ$91),2)</f>
        <v>0</v>
      </c>
      <c r="AL29" s="171"/>
      <c r="AM29" s="171"/>
      <c r="AN29" s="171"/>
      <c r="AO29" s="171"/>
      <c r="AQ29" s="27"/>
    </row>
    <row r="30" spans="2:43" s="6" customFormat="1" ht="15" customHeight="1" hidden="1">
      <c r="B30" s="23"/>
      <c r="F30" s="24" t="s">
        <v>40</v>
      </c>
      <c r="L30" s="178">
        <v>0.21</v>
      </c>
      <c r="M30" s="171"/>
      <c r="N30" s="171"/>
      <c r="O30" s="171"/>
      <c r="T30" s="26" t="s">
        <v>38</v>
      </c>
      <c r="W30" s="170" t="e">
        <f>ROUND($BB$87+SUM($CF$91:$CF$91),2)</f>
        <v>#REF!</v>
      </c>
      <c r="X30" s="171"/>
      <c r="Y30" s="171"/>
      <c r="Z30" s="171"/>
      <c r="AA30" s="171"/>
      <c r="AB30" s="171"/>
      <c r="AC30" s="171"/>
      <c r="AD30" s="171"/>
      <c r="AE30" s="171"/>
      <c r="AK30" s="170">
        <v>0</v>
      </c>
      <c r="AL30" s="171"/>
      <c r="AM30" s="171"/>
      <c r="AN30" s="171"/>
      <c r="AO30" s="171"/>
      <c r="AQ30" s="27"/>
    </row>
    <row r="31" spans="2:43" s="6" customFormat="1" ht="15" customHeight="1" hidden="1">
      <c r="B31" s="23"/>
      <c r="F31" s="24" t="s">
        <v>41</v>
      </c>
      <c r="L31" s="178">
        <v>0.15</v>
      </c>
      <c r="M31" s="171"/>
      <c r="N31" s="171"/>
      <c r="O31" s="171"/>
      <c r="T31" s="26" t="s">
        <v>38</v>
      </c>
      <c r="W31" s="170" t="e">
        <f>ROUND($BC$87+SUM($CG$91:$CG$91),2)</f>
        <v>#REF!</v>
      </c>
      <c r="X31" s="171"/>
      <c r="Y31" s="171"/>
      <c r="Z31" s="171"/>
      <c r="AA31" s="171"/>
      <c r="AB31" s="171"/>
      <c r="AC31" s="171"/>
      <c r="AD31" s="171"/>
      <c r="AE31" s="171"/>
      <c r="AK31" s="170">
        <v>0</v>
      </c>
      <c r="AL31" s="171"/>
      <c r="AM31" s="171"/>
      <c r="AN31" s="171"/>
      <c r="AO31" s="171"/>
      <c r="AQ31" s="27"/>
    </row>
    <row r="32" spans="2:43" s="6" customFormat="1" ht="15" customHeight="1" hidden="1">
      <c r="B32" s="23"/>
      <c r="F32" s="24" t="s">
        <v>42</v>
      </c>
      <c r="L32" s="178">
        <v>0</v>
      </c>
      <c r="M32" s="171"/>
      <c r="N32" s="171"/>
      <c r="O32" s="171"/>
      <c r="T32" s="26" t="s">
        <v>38</v>
      </c>
      <c r="W32" s="170" t="e">
        <f>ROUND($BD$87+SUM($CH$91:$CH$91),2)</f>
        <v>#REF!</v>
      </c>
      <c r="X32" s="171"/>
      <c r="Y32" s="171"/>
      <c r="Z32" s="171"/>
      <c r="AA32" s="171"/>
      <c r="AB32" s="171"/>
      <c r="AC32" s="171"/>
      <c r="AD32" s="171"/>
      <c r="AE32" s="171"/>
      <c r="AK32" s="170">
        <v>0</v>
      </c>
      <c r="AL32" s="171"/>
      <c r="AM32" s="171"/>
      <c r="AN32" s="171"/>
      <c r="AO32" s="171"/>
      <c r="AQ32" s="27"/>
    </row>
    <row r="33" spans="2:43" s="6" customFormat="1" ht="7.5" customHeight="1">
      <c r="B33" s="19"/>
      <c r="AQ33" s="20"/>
    </row>
    <row r="34" spans="2:43" s="6" customFormat="1" ht="27" customHeight="1">
      <c r="B34" s="19"/>
      <c r="C34" s="28"/>
      <c r="D34" s="29" t="s">
        <v>43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 t="s">
        <v>44</v>
      </c>
      <c r="U34" s="30"/>
      <c r="V34" s="30"/>
      <c r="W34" s="30"/>
      <c r="X34" s="179" t="s">
        <v>45</v>
      </c>
      <c r="Y34" s="180"/>
      <c r="Z34" s="180"/>
      <c r="AA34" s="180"/>
      <c r="AB34" s="180"/>
      <c r="AC34" s="30"/>
      <c r="AD34" s="30"/>
      <c r="AE34" s="30"/>
      <c r="AF34" s="30"/>
      <c r="AG34" s="30"/>
      <c r="AH34" s="30"/>
      <c r="AI34" s="30"/>
      <c r="AJ34" s="30"/>
      <c r="AK34" s="181">
        <f>ROUND(SUM($AK$26:$AK$32),2)</f>
        <v>0</v>
      </c>
      <c r="AL34" s="180"/>
      <c r="AM34" s="180"/>
      <c r="AN34" s="180"/>
      <c r="AO34" s="182"/>
      <c r="AP34" s="28"/>
      <c r="AQ34" s="20"/>
    </row>
    <row r="35" spans="2:43" s="6" customFormat="1" ht="15" customHeight="1">
      <c r="B35" s="19"/>
      <c r="AQ35" s="20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46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47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48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49</v>
      </c>
      <c r="S58" s="38"/>
      <c r="T58" s="38"/>
      <c r="U58" s="38"/>
      <c r="V58" s="38"/>
      <c r="W58" s="38"/>
      <c r="X58" s="38"/>
      <c r="Y58" s="38"/>
      <c r="Z58" s="40"/>
      <c r="AC58" s="37" t="s">
        <v>48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49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51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48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49</v>
      </c>
      <c r="S69" s="38"/>
      <c r="T69" s="38"/>
      <c r="U69" s="38"/>
      <c r="V69" s="38"/>
      <c r="W69" s="38"/>
      <c r="X69" s="38"/>
      <c r="Y69" s="38"/>
      <c r="Z69" s="40"/>
      <c r="AC69" s="37" t="s">
        <v>48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49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74" t="s">
        <v>52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20"/>
    </row>
    <row r="77" spans="2:43" s="14" customFormat="1" ht="15" customHeight="1">
      <c r="B77" s="47"/>
      <c r="C77" s="16" t="s">
        <v>11</v>
      </c>
      <c r="L77" s="14">
        <f>$K$5</f>
        <v>0</v>
      </c>
      <c r="AQ77" s="48"/>
    </row>
    <row r="78" spans="2:43" s="49" customFormat="1" ht="37.5" customHeight="1">
      <c r="B78" s="50"/>
      <c r="C78" s="49" t="s">
        <v>13</v>
      </c>
      <c r="L78" s="188" t="str">
        <f>$K$6</f>
        <v>Rekonstrukce ulice Česká, Kutná Hora</v>
      </c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19</v>
      </c>
      <c r="L80" s="52" t="str">
        <f>IF($K$8="","",$K$8)</f>
        <v>Kutná Hora</v>
      </c>
      <c r="AI80" s="16" t="s">
        <v>21</v>
      </c>
      <c r="AM80" s="192">
        <f>IF($AN$8="","",$AN$8)</f>
        <v>42803</v>
      </c>
      <c r="AN80" s="193"/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24</v>
      </c>
      <c r="L82" s="14" t="str">
        <f>IF($E$11="","",$E$11)</f>
        <v xml:space="preserve"> </v>
      </c>
      <c r="AI82" s="16" t="s">
        <v>29</v>
      </c>
      <c r="AM82" s="175" t="str">
        <f>IF($E$17="","",$E$17)</f>
        <v xml:space="preserve"> </v>
      </c>
      <c r="AN82" s="189"/>
      <c r="AO82" s="189"/>
      <c r="AP82" s="189"/>
      <c r="AQ82" s="20"/>
      <c r="AS82" s="199" t="s">
        <v>53</v>
      </c>
      <c r="AT82" s="200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28</v>
      </c>
      <c r="L83" s="14" t="str">
        <f>IF($E$14="","",$E$14)</f>
        <v xml:space="preserve"> </v>
      </c>
      <c r="AI83" s="16" t="s">
        <v>31</v>
      </c>
      <c r="AM83" s="175" t="str">
        <f>IF($E$20="","",$E$20)</f>
        <v>PROAGRO Pardubice s.r.o.</v>
      </c>
      <c r="AN83" s="189"/>
      <c r="AO83" s="189"/>
      <c r="AP83" s="189"/>
      <c r="AQ83" s="20"/>
      <c r="AS83" s="201"/>
      <c r="AT83" s="189"/>
      <c r="BD83" s="53"/>
    </row>
    <row r="84" spans="2:56" s="6" customFormat="1" ht="12" customHeight="1">
      <c r="B84" s="19"/>
      <c r="AQ84" s="20"/>
      <c r="AS84" s="201"/>
      <c r="AT84" s="189"/>
      <c r="BD84" s="53"/>
    </row>
    <row r="85" spans="2:57" s="6" customFormat="1" ht="30" customHeight="1">
      <c r="B85" s="19"/>
      <c r="C85" s="190" t="s">
        <v>54</v>
      </c>
      <c r="D85" s="180"/>
      <c r="E85" s="180"/>
      <c r="F85" s="180"/>
      <c r="G85" s="180"/>
      <c r="H85" s="30"/>
      <c r="I85" s="191" t="s">
        <v>55</v>
      </c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91" t="s">
        <v>56</v>
      </c>
      <c r="AH85" s="180"/>
      <c r="AI85" s="180"/>
      <c r="AJ85" s="180"/>
      <c r="AK85" s="180"/>
      <c r="AL85" s="180"/>
      <c r="AM85" s="180"/>
      <c r="AN85" s="191" t="s">
        <v>57</v>
      </c>
      <c r="AO85" s="180"/>
      <c r="AP85" s="182"/>
      <c r="AQ85" s="20"/>
      <c r="AS85" s="54" t="s">
        <v>58</v>
      </c>
      <c r="AT85" s="55" t="s">
        <v>59</v>
      </c>
      <c r="AU85" s="55" t="s">
        <v>60</v>
      </c>
      <c r="AV85" s="55" t="s">
        <v>61</v>
      </c>
      <c r="AW85" s="55" t="s">
        <v>62</v>
      </c>
      <c r="AX85" s="55" t="s">
        <v>63</v>
      </c>
      <c r="AY85" s="55" t="s">
        <v>64</v>
      </c>
      <c r="AZ85" s="55" t="s">
        <v>65</v>
      </c>
      <c r="BA85" s="55" t="s">
        <v>66</v>
      </c>
      <c r="BB85" s="55" t="s">
        <v>67</v>
      </c>
      <c r="BC85" s="55" t="s">
        <v>68</v>
      </c>
      <c r="BD85" s="56" t="s">
        <v>69</v>
      </c>
      <c r="BE85" s="57"/>
    </row>
    <row r="86" spans="2:56" s="6" customFormat="1" ht="12" customHeight="1">
      <c r="B86" s="19"/>
      <c r="AQ86" s="20"/>
      <c r="AS86" s="58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59" t="s">
        <v>70</v>
      </c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186">
        <f>ROUND($AG$88,2)</f>
        <v>0</v>
      </c>
      <c r="AH87" s="187"/>
      <c r="AI87" s="187"/>
      <c r="AJ87" s="187"/>
      <c r="AK87" s="187"/>
      <c r="AL87" s="187"/>
      <c r="AM87" s="187"/>
      <c r="AN87" s="186">
        <f>ROUND(SUM($AG$87,$AT$87),2)</f>
        <v>0</v>
      </c>
      <c r="AO87" s="187"/>
      <c r="AP87" s="187"/>
      <c r="AQ87" s="51"/>
      <c r="AS87" s="60">
        <f>ROUND($AS$88,2)</f>
        <v>0</v>
      </c>
      <c r="AT87" s="61">
        <f>ROUND(SUM($AV$87:$AW$87),2)</f>
        <v>0</v>
      </c>
      <c r="AU87" s="62" t="e">
        <f>ROUND($AU$88,5)</f>
        <v>#REF!</v>
      </c>
      <c r="AV87" s="61">
        <f>ROUND($AZ$87*$L$28,2)</f>
        <v>0</v>
      </c>
      <c r="AW87" s="61">
        <f>ROUND($BA$87*$L$29,2)</f>
        <v>0</v>
      </c>
      <c r="AX87" s="61" t="e">
        <f>ROUND($BB$87*$L$28,2)</f>
        <v>#REF!</v>
      </c>
      <c r="AY87" s="61" t="e">
        <f>ROUND($BC$87*$L$29,2)</f>
        <v>#REF!</v>
      </c>
      <c r="AZ87" s="61">
        <f>ROUND($AZ$88,2)</f>
        <v>0</v>
      </c>
      <c r="BA87" s="61">
        <f>ROUND($BA$88,2)</f>
        <v>0</v>
      </c>
      <c r="BB87" s="61" t="e">
        <f>ROUND($BB$88,2)</f>
        <v>#REF!</v>
      </c>
      <c r="BC87" s="61" t="e">
        <f>ROUND($BC$88,2)</f>
        <v>#REF!</v>
      </c>
      <c r="BD87" s="63" t="e">
        <f>ROUND($BD$88,2)</f>
        <v>#REF!</v>
      </c>
      <c r="BS87" s="49" t="s">
        <v>71</v>
      </c>
      <c r="BT87" s="49" t="s">
        <v>72</v>
      </c>
      <c r="BV87" s="49" t="s">
        <v>73</v>
      </c>
      <c r="BW87" s="49" t="s">
        <v>74</v>
      </c>
      <c r="BX87" s="49" t="s">
        <v>75</v>
      </c>
    </row>
    <row r="88" spans="1:76" s="64" customFormat="1" ht="28.5" customHeight="1">
      <c r="A88" s="132" t="s">
        <v>303</v>
      </c>
      <c r="B88" s="65"/>
      <c r="C88" s="66"/>
      <c r="D88" s="183" t="s">
        <v>346</v>
      </c>
      <c r="E88" s="184"/>
      <c r="F88" s="184"/>
      <c r="G88" s="184"/>
      <c r="H88" s="184"/>
      <c r="I88" s="66"/>
      <c r="J88" s="185" t="s">
        <v>14</v>
      </c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97">
        <f>' Kutná Hora ul....'!$M$26</f>
        <v>0</v>
      </c>
      <c r="AH88" s="198"/>
      <c r="AI88" s="198"/>
      <c r="AJ88" s="198"/>
      <c r="AK88" s="198"/>
      <c r="AL88" s="198"/>
      <c r="AM88" s="198"/>
      <c r="AN88" s="197">
        <f>ROUND(SUM($AG$88,$AT$88),2)</f>
        <v>0</v>
      </c>
      <c r="AO88" s="198"/>
      <c r="AP88" s="198"/>
      <c r="AQ88" s="67"/>
      <c r="AS88" s="68">
        <f>' Kutná Hora ul....'!$M$24</f>
        <v>0</v>
      </c>
      <c r="AT88" s="69">
        <f>ROUND(SUM($AV$88:$AW$88),2)</f>
        <v>0</v>
      </c>
      <c r="AU88" s="70" t="e">
        <f>' Kutná Hora ul....'!$W$130</f>
        <v>#REF!</v>
      </c>
      <c r="AV88" s="69">
        <f>' Kutná Hora ul....'!$M$28</f>
        <v>0</v>
      </c>
      <c r="AW88" s="69">
        <f>' Kutná Hora ul....'!$M$29</f>
        <v>0</v>
      </c>
      <c r="AX88" s="69">
        <f>' Kutná Hora ul....'!$M$30</f>
        <v>0</v>
      </c>
      <c r="AY88" s="69">
        <f>' Kutná Hora ul....'!$M$31</f>
        <v>0</v>
      </c>
      <c r="AZ88" s="69">
        <f>' Kutná Hora ul....'!$H$28</f>
        <v>0</v>
      </c>
      <c r="BA88" s="69">
        <f>' Kutná Hora ul....'!$H$29</f>
        <v>0</v>
      </c>
      <c r="BB88" s="69" t="e">
        <f>' Kutná Hora ul....'!$H$30</f>
        <v>#REF!</v>
      </c>
      <c r="BC88" s="69" t="e">
        <f>' Kutná Hora ul....'!$H$31</f>
        <v>#REF!</v>
      </c>
      <c r="BD88" s="71" t="e">
        <f>' Kutná Hora ul....'!$H$32</f>
        <v>#REF!</v>
      </c>
      <c r="BT88" s="64" t="s">
        <v>18</v>
      </c>
      <c r="BU88" s="64" t="s">
        <v>76</v>
      </c>
      <c r="BV88" s="64" t="s">
        <v>73</v>
      </c>
      <c r="BW88" s="64" t="s">
        <v>74</v>
      </c>
      <c r="BX88" s="64" t="s">
        <v>75</v>
      </c>
    </row>
    <row r="89" spans="2:43" s="2" customFormat="1" ht="14.25" customHeight="1">
      <c r="B89" s="10"/>
      <c r="AQ89" s="11"/>
    </row>
    <row r="90" spans="2:49" s="6" customFormat="1" ht="30.75" customHeight="1">
      <c r="B90" s="19"/>
      <c r="C90" s="59" t="s">
        <v>77</v>
      </c>
      <c r="AG90" s="186">
        <v>0</v>
      </c>
      <c r="AH90" s="189"/>
      <c r="AI90" s="189"/>
      <c r="AJ90" s="189"/>
      <c r="AK90" s="189"/>
      <c r="AL90" s="189"/>
      <c r="AM90" s="189"/>
      <c r="AN90" s="186">
        <v>0</v>
      </c>
      <c r="AO90" s="189"/>
      <c r="AP90" s="189"/>
      <c r="AQ90" s="20"/>
      <c r="AS90" s="54" t="s">
        <v>78</v>
      </c>
      <c r="AT90" s="55" t="s">
        <v>79</v>
      </c>
      <c r="AU90" s="55" t="s">
        <v>36</v>
      </c>
      <c r="AV90" s="56" t="s">
        <v>59</v>
      </c>
      <c r="AW90" s="57"/>
    </row>
    <row r="91" spans="2:48" s="6" customFormat="1" ht="12" customHeight="1">
      <c r="B91" s="19"/>
      <c r="AQ91" s="20"/>
      <c r="AS91" s="33"/>
      <c r="AT91" s="33"/>
      <c r="AU91" s="33"/>
      <c r="AV91" s="33"/>
    </row>
    <row r="92" spans="2:43" s="6" customFormat="1" ht="30.75" customHeight="1">
      <c r="B92" s="19"/>
      <c r="C92" s="72" t="s">
        <v>80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194">
        <f>ROUND($AG$87+$AG$90,2)</f>
        <v>0</v>
      </c>
      <c r="AH92" s="195"/>
      <c r="AI92" s="195"/>
      <c r="AJ92" s="195"/>
      <c r="AK92" s="195"/>
      <c r="AL92" s="195"/>
      <c r="AM92" s="195"/>
      <c r="AN92" s="194">
        <f>ROUND($AN$87+$AN$90,2)</f>
        <v>0</v>
      </c>
      <c r="AO92" s="195"/>
      <c r="AP92" s="195"/>
      <c r="AQ92" s="20"/>
    </row>
    <row r="93" spans="2:43" s="6" customFormat="1" ht="7.5" customHeight="1"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3"/>
    </row>
  </sheetData>
  <mergeCells count="45">
    <mergeCell ref="AG90:AM90"/>
    <mergeCell ref="AN90:AP90"/>
    <mergeCell ref="AG92:AM92"/>
    <mergeCell ref="AN92:AP92"/>
    <mergeCell ref="AR2:BE2"/>
    <mergeCell ref="AN88:AP88"/>
    <mergeCell ref="AG88:AM88"/>
    <mergeCell ref="AS82:AT84"/>
    <mergeCell ref="AN85:AP85"/>
    <mergeCell ref="AK26:AO26"/>
    <mergeCell ref="C76:AP76"/>
    <mergeCell ref="AK24:AO24"/>
    <mergeCell ref="L28:O28"/>
    <mergeCell ref="W28:AE28"/>
    <mergeCell ref="AK28:AO28"/>
    <mergeCell ref="L29:O29"/>
    <mergeCell ref="D88:H88"/>
    <mergeCell ref="J88:AF88"/>
    <mergeCell ref="AG87:AM87"/>
    <mergeCell ref="AN87:AP87"/>
    <mergeCell ref="L78:AO78"/>
    <mergeCell ref="AM82:AP82"/>
    <mergeCell ref="AM83:AP83"/>
    <mergeCell ref="C85:G85"/>
    <mergeCell ref="I85:AF85"/>
    <mergeCell ref="AG85:AM85"/>
    <mergeCell ref="AM80:AN80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W29:AE29"/>
    <mergeCell ref="AK29:AO29"/>
    <mergeCell ref="C2:AP2"/>
    <mergeCell ref="C4:AP4"/>
    <mergeCell ref="K5:AO5"/>
    <mergeCell ref="K6:AO6"/>
    <mergeCell ref="AK23:AO23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20140147 - Kutná Hora ul....'!C2" tooltip="20140147 - Kutná Hora ul.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04"/>
  <sheetViews>
    <sheetView showGridLines="0" tabSelected="1" workbookViewId="0" topLeftCell="A1">
      <pane ySplit="1" topLeftCell="A273" activePane="bottomLeft" state="frozen"/>
      <selection pane="bottomLeft" activeCell="C236" sqref="C236:Q23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22.16015625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7"/>
      <c r="B1" s="134"/>
      <c r="C1" s="134"/>
      <c r="D1" s="135" t="s">
        <v>1</v>
      </c>
      <c r="E1" s="134"/>
      <c r="F1" s="136" t="s">
        <v>304</v>
      </c>
      <c r="G1" s="136"/>
      <c r="H1" s="249" t="s">
        <v>305</v>
      </c>
      <c r="I1" s="249"/>
      <c r="J1" s="249"/>
      <c r="K1" s="249"/>
      <c r="L1" s="136" t="s">
        <v>306</v>
      </c>
      <c r="M1" s="134"/>
      <c r="N1" s="134"/>
      <c r="O1" s="135" t="s">
        <v>81</v>
      </c>
      <c r="P1" s="134"/>
      <c r="Q1" s="134"/>
      <c r="R1" s="134"/>
      <c r="S1" s="136" t="s">
        <v>307</v>
      </c>
      <c r="T1" s="136"/>
      <c r="U1" s="137"/>
      <c r="V1" s="13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2" t="s">
        <v>4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S2" s="196" t="s">
        <v>5</v>
      </c>
      <c r="T2" s="173"/>
      <c r="U2" s="173"/>
      <c r="V2" s="173"/>
      <c r="W2" s="173"/>
      <c r="X2" s="173"/>
      <c r="Y2" s="173"/>
      <c r="Z2" s="173"/>
      <c r="AA2" s="173"/>
      <c r="AB2" s="173"/>
      <c r="AC2" s="173"/>
      <c r="AT2" s="2" t="s">
        <v>74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82</v>
      </c>
    </row>
    <row r="4" spans="2:46" s="2" customFormat="1" ht="37.5" customHeight="1">
      <c r="B4" s="10"/>
      <c r="C4" s="174" t="s">
        <v>83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6" customFormat="1" ht="37.5" customHeight="1">
      <c r="B6" s="19"/>
      <c r="D6" s="15" t="s">
        <v>13</v>
      </c>
      <c r="F6" s="176" t="s">
        <v>316</v>
      </c>
      <c r="G6" s="189"/>
      <c r="H6" s="189"/>
      <c r="I6" s="189"/>
      <c r="J6" s="189"/>
      <c r="K6" s="189"/>
      <c r="L6" s="189"/>
      <c r="M6" s="189"/>
      <c r="N6" s="189"/>
      <c r="O6" s="189"/>
      <c r="P6" s="189"/>
      <c r="R6" s="20"/>
    </row>
    <row r="7" spans="2:18" s="6" customFormat="1" ht="15" customHeight="1">
      <c r="B7" s="19"/>
      <c r="D7" s="16" t="s">
        <v>16</v>
      </c>
      <c r="F7" s="155" t="s">
        <v>347</v>
      </c>
      <c r="M7" s="16" t="s">
        <v>17</v>
      </c>
      <c r="O7" s="14"/>
      <c r="R7" s="20"/>
    </row>
    <row r="8" spans="2:18" s="6" customFormat="1" ht="15" customHeight="1">
      <c r="B8" s="19"/>
      <c r="D8" s="16" t="s">
        <v>19</v>
      </c>
      <c r="F8" s="14" t="s">
        <v>20</v>
      </c>
      <c r="M8" s="16" t="s">
        <v>21</v>
      </c>
      <c r="O8" s="192">
        <f>'Rekapitulace stavby'!$AN$8</f>
        <v>42803</v>
      </c>
      <c r="P8" s="189"/>
      <c r="R8" s="20"/>
    </row>
    <row r="9" spans="2:18" s="6" customFormat="1" ht="12" customHeight="1">
      <c r="B9" s="19"/>
      <c r="R9" s="20"/>
    </row>
    <row r="10" spans="2:18" s="6" customFormat="1" ht="15" customHeight="1">
      <c r="B10" s="19"/>
      <c r="D10" s="16" t="s">
        <v>24</v>
      </c>
      <c r="M10" s="16" t="s">
        <v>25</v>
      </c>
      <c r="O10" s="175" t="str">
        <f>IF('Rekapitulace stavby'!$AN$10="","",'Rekapitulace stavby'!$AN$10)</f>
        <v/>
      </c>
      <c r="P10" s="189"/>
      <c r="R10" s="20"/>
    </row>
    <row r="11" spans="2:18" s="6" customFormat="1" ht="18.75" customHeight="1">
      <c r="B11" s="19"/>
      <c r="E11" s="14" t="str">
        <f>IF('Rekapitulace stavby'!$E$11="","",'Rekapitulace stavby'!$E$11)</f>
        <v xml:space="preserve"> </v>
      </c>
      <c r="M11" s="16" t="s">
        <v>27</v>
      </c>
      <c r="O11" s="175" t="str">
        <f>IF('Rekapitulace stavby'!$AN$11="","",'Rekapitulace stavby'!$AN$11)</f>
        <v/>
      </c>
      <c r="P11" s="189"/>
      <c r="R11" s="20"/>
    </row>
    <row r="12" spans="2:18" s="6" customFormat="1" ht="7.5" customHeight="1">
      <c r="B12" s="19"/>
      <c r="R12" s="20"/>
    </row>
    <row r="13" spans="2:18" s="6" customFormat="1" ht="15" customHeight="1">
      <c r="B13" s="19"/>
      <c r="D13" s="16" t="s">
        <v>28</v>
      </c>
      <c r="M13" s="16" t="s">
        <v>25</v>
      </c>
      <c r="O13" s="175" t="str">
        <f>IF('Rekapitulace stavby'!$AN$13="","",'Rekapitulace stavby'!$AN$13)</f>
        <v/>
      </c>
      <c r="P13" s="189"/>
      <c r="R13" s="20"/>
    </row>
    <row r="14" spans="2:18" s="6" customFormat="1" ht="18.75" customHeight="1">
      <c r="B14" s="19"/>
      <c r="E14" s="14" t="str">
        <f>IF('Rekapitulace stavby'!$E$14="","",'Rekapitulace stavby'!$E$14)</f>
        <v xml:space="preserve"> </v>
      </c>
      <c r="M14" s="16" t="s">
        <v>27</v>
      </c>
      <c r="O14" s="175" t="str">
        <f>IF('Rekapitulace stavby'!$AN$14="","",'Rekapitulace stavby'!$AN$14)</f>
        <v/>
      </c>
      <c r="P14" s="189"/>
      <c r="R14" s="20"/>
    </row>
    <row r="15" spans="2:18" s="6" customFormat="1" ht="7.5" customHeight="1">
      <c r="B15" s="19"/>
      <c r="R15" s="20"/>
    </row>
    <row r="16" spans="2:18" s="6" customFormat="1" ht="15" customHeight="1">
      <c r="B16" s="19"/>
      <c r="D16" s="16" t="s">
        <v>29</v>
      </c>
      <c r="M16" s="16" t="s">
        <v>25</v>
      </c>
      <c r="O16" s="175" t="str">
        <f>IF('Rekapitulace stavby'!$AN$16="","",'Rekapitulace stavby'!$AN$16)</f>
        <v/>
      </c>
      <c r="P16" s="189"/>
      <c r="R16" s="20"/>
    </row>
    <row r="17" spans="2:18" s="6" customFormat="1" ht="18.75" customHeight="1">
      <c r="B17" s="19"/>
      <c r="E17" s="14" t="str">
        <f>IF('Rekapitulace stavby'!$E$17="","",'Rekapitulace stavby'!$E$17)</f>
        <v xml:space="preserve"> </v>
      </c>
      <c r="M17" s="16" t="s">
        <v>27</v>
      </c>
      <c r="O17" s="175" t="str">
        <f>IF('Rekapitulace stavby'!$AN$17="","",'Rekapitulace stavby'!$AN$17)</f>
        <v/>
      </c>
      <c r="P17" s="189"/>
      <c r="R17" s="20"/>
    </row>
    <row r="18" spans="2:18" s="6" customFormat="1" ht="7.5" customHeight="1">
      <c r="B18" s="19"/>
      <c r="R18" s="20"/>
    </row>
    <row r="19" spans="2:18" s="6" customFormat="1" ht="15" customHeight="1">
      <c r="B19" s="19"/>
      <c r="D19" s="16" t="s">
        <v>31</v>
      </c>
      <c r="M19" s="16" t="s">
        <v>25</v>
      </c>
      <c r="O19" s="175"/>
      <c r="P19" s="189"/>
      <c r="R19" s="20"/>
    </row>
    <row r="20" spans="2:18" s="6" customFormat="1" ht="18.75" customHeight="1">
      <c r="B20" s="19"/>
      <c r="E20" s="14" t="s">
        <v>32</v>
      </c>
      <c r="M20" s="16" t="s">
        <v>27</v>
      </c>
      <c r="O20" s="175"/>
      <c r="P20" s="189"/>
      <c r="R20" s="20"/>
    </row>
    <row r="21" spans="2:18" s="6" customFormat="1" ht="7.5" customHeight="1">
      <c r="B21" s="19"/>
      <c r="R21" s="20"/>
    </row>
    <row r="22" spans="2:18" s="6" customFormat="1" ht="7.5" customHeight="1">
      <c r="B22" s="19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R22" s="20"/>
    </row>
    <row r="23" spans="2:18" s="6" customFormat="1" ht="15" customHeight="1">
      <c r="B23" s="19"/>
      <c r="D23" s="73" t="s">
        <v>84</v>
      </c>
      <c r="M23" s="177">
        <f>$N$87</f>
        <v>0</v>
      </c>
      <c r="N23" s="189"/>
      <c r="O23" s="189"/>
      <c r="P23" s="189"/>
      <c r="R23" s="20"/>
    </row>
    <row r="24" spans="2:18" s="6" customFormat="1" ht="15" customHeight="1">
      <c r="B24" s="19"/>
      <c r="D24" s="18" t="s">
        <v>85</v>
      </c>
      <c r="M24" s="177">
        <f>$N$112</f>
        <v>0</v>
      </c>
      <c r="N24" s="189"/>
      <c r="O24" s="189"/>
      <c r="P24" s="189"/>
      <c r="R24" s="20"/>
    </row>
    <row r="25" spans="2:18" s="6" customFormat="1" ht="7.5" customHeight="1">
      <c r="B25" s="19"/>
      <c r="R25" s="20"/>
    </row>
    <row r="26" spans="2:18" s="6" customFormat="1" ht="26.25" customHeight="1">
      <c r="B26" s="19"/>
      <c r="D26" s="74" t="s">
        <v>35</v>
      </c>
      <c r="M26" s="214">
        <f>ROUND($M$23+$M$24,2)</f>
        <v>0</v>
      </c>
      <c r="N26" s="189"/>
      <c r="O26" s="189"/>
      <c r="P26" s="189"/>
      <c r="R26" s="20"/>
    </row>
    <row r="27" spans="2:18" s="6" customFormat="1" ht="7.5" customHeight="1">
      <c r="B27" s="19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R27" s="20"/>
    </row>
    <row r="28" spans="2:18" s="6" customFormat="1" ht="15" customHeight="1">
      <c r="B28" s="19"/>
      <c r="D28" s="24" t="s">
        <v>36</v>
      </c>
      <c r="E28" s="24" t="s">
        <v>37</v>
      </c>
      <c r="F28" s="25">
        <v>0.21</v>
      </c>
      <c r="G28" s="75" t="s">
        <v>38</v>
      </c>
      <c r="H28" s="215">
        <f>M23</f>
        <v>0</v>
      </c>
      <c r="I28" s="189"/>
      <c r="J28" s="189"/>
      <c r="M28" s="215">
        <f>L34-H28</f>
        <v>0</v>
      </c>
      <c r="N28" s="189"/>
      <c r="O28" s="189"/>
      <c r="P28" s="189"/>
      <c r="R28" s="20"/>
    </row>
    <row r="29" spans="2:18" s="6" customFormat="1" ht="15" customHeight="1">
      <c r="B29" s="19"/>
      <c r="E29" s="24" t="s">
        <v>39</v>
      </c>
      <c r="F29" s="25">
        <v>0.15</v>
      </c>
      <c r="G29" s="75" t="s">
        <v>38</v>
      </c>
      <c r="H29" s="215">
        <v>0</v>
      </c>
      <c r="I29" s="189"/>
      <c r="J29" s="189"/>
      <c r="M29" s="215">
        <v>0</v>
      </c>
      <c r="N29" s="189"/>
      <c r="O29" s="189"/>
      <c r="P29" s="189"/>
      <c r="R29" s="20"/>
    </row>
    <row r="30" spans="2:18" s="6" customFormat="1" ht="15" customHeight="1" hidden="1">
      <c r="B30" s="19"/>
      <c r="E30" s="24" t="s">
        <v>40</v>
      </c>
      <c r="F30" s="25">
        <v>0.21</v>
      </c>
      <c r="G30" s="75" t="s">
        <v>38</v>
      </c>
      <c r="H30" s="215" t="e">
        <f>ROUND((SUM($BG$112:$BG$113)+SUM($BG$130:$BG$302)),2)</f>
        <v>#REF!</v>
      </c>
      <c r="I30" s="189"/>
      <c r="J30" s="189"/>
      <c r="M30" s="215">
        <v>0</v>
      </c>
      <c r="N30" s="189"/>
      <c r="O30" s="189"/>
      <c r="P30" s="189"/>
      <c r="R30" s="20"/>
    </row>
    <row r="31" spans="2:18" s="6" customFormat="1" ht="15" customHeight="1" hidden="1">
      <c r="B31" s="19"/>
      <c r="E31" s="24" t="s">
        <v>41</v>
      </c>
      <c r="F31" s="25">
        <v>0.15</v>
      </c>
      <c r="G31" s="75" t="s">
        <v>38</v>
      </c>
      <c r="H31" s="215" t="e">
        <f>ROUND((SUM($BH$112:$BH$113)+SUM($BH$130:$BH$302)),2)</f>
        <v>#REF!</v>
      </c>
      <c r="I31" s="189"/>
      <c r="J31" s="189"/>
      <c r="M31" s="215">
        <v>0</v>
      </c>
      <c r="N31" s="189"/>
      <c r="O31" s="189"/>
      <c r="P31" s="189"/>
      <c r="R31" s="20"/>
    </row>
    <row r="32" spans="2:18" s="6" customFormat="1" ht="15" customHeight="1" hidden="1">
      <c r="B32" s="19"/>
      <c r="E32" s="24" t="s">
        <v>42</v>
      </c>
      <c r="F32" s="25">
        <v>0</v>
      </c>
      <c r="G32" s="75" t="s">
        <v>38</v>
      </c>
      <c r="H32" s="215" t="e">
        <f>ROUND((SUM($BI$112:$BI$113)+SUM($BI$130:$BI$302)),2)</f>
        <v>#REF!</v>
      </c>
      <c r="I32" s="189"/>
      <c r="J32" s="189"/>
      <c r="M32" s="215">
        <v>0</v>
      </c>
      <c r="N32" s="189"/>
      <c r="O32" s="189"/>
      <c r="P32" s="189"/>
      <c r="R32" s="20"/>
    </row>
    <row r="33" spans="2:18" s="6" customFormat="1" ht="7.5" customHeight="1">
      <c r="B33" s="19"/>
      <c r="R33" s="20"/>
    </row>
    <row r="34" spans="2:18" s="6" customFormat="1" ht="26.25" customHeight="1">
      <c r="B34" s="19"/>
      <c r="C34" s="28"/>
      <c r="D34" s="29" t="s">
        <v>43</v>
      </c>
      <c r="E34" s="30"/>
      <c r="F34" s="30"/>
      <c r="G34" s="76" t="s">
        <v>44</v>
      </c>
      <c r="H34" s="31" t="s">
        <v>45</v>
      </c>
      <c r="I34" s="30"/>
      <c r="J34" s="30"/>
      <c r="K34" s="30"/>
      <c r="L34" s="181">
        <f>M26*1.21</f>
        <v>0</v>
      </c>
      <c r="M34" s="180"/>
      <c r="N34" s="180"/>
      <c r="O34" s="180"/>
      <c r="P34" s="182"/>
      <c r="Q34" s="28"/>
      <c r="R34" s="20"/>
    </row>
    <row r="35" spans="2:18" s="6" customFormat="1" ht="15" customHeight="1">
      <c r="B35" s="19"/>
      <c r="R35" s="20"/>
    </row>
    <row r="36" spans="2:18" s="6" customFormat="1" ht="15" customHeight="1">
      <c r="B36" s="19"/>
      <c r="R36" s="20"/>
    </row>
    <row r="37" spans="2:18" s="2" customFormat="1" ht="14.25" customHeight="1">
      <c r="B37" s="10"/>
      <c r="R37" s="11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74" t="s">
        <v>86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20"/>
    </row>
    <row r="77" spans="2:18" s="6" customFormat="1" ht="7.5" customHeight="1">
      <c r="B77" s="19"/>
      <c r="R77" s="20"/>
    </row>
    <row r="78" spans="2:18" s="6" customFormat="1" ht="37.5" customHeight="1">
      <c r="B78" s="19"/>
      <c r="C78" s="49" t="s">
        <v>13</v>
      </c>
      <c r="F78" s="188" t="str">
        <f>$F$6</f>
        <v>Rekonstrukce ulice Česká, Kutná Hora</v>
      </c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R78" s="20"/>
    </row>
    <row r="79" spans="2:18" s="6" customFormat="1" ht="7.5" customHeight="1">
      <c r="B79" s="19"/>
      <c r="R79" s="20"/>
    </row>
    <row r="80" spans="2:18" s="6" customFormat="1" ht="18.75" customHeight="1">
      <c r="B80" s="19"/>
      <c r="C80" s="16" t="s">
        <v>19</v>
      </c>
      <c r="F80" s="14" t="str">
        <f>$F$8</f>
        <v>Kutná Hora</v>
      </c>
      <c r="K80" s="16" t="s">
        <v>21</v>
      </c>
      <c r="M80" s="192">
        <f>IF($O$8="","",$O$8)</f>
        <v>42803</v>
      </c>
      <c r="N80" s="189"/>
      <c r="O80" s="189"/>
      <c r="P80" s="189"/>
      <c r="R80" s="20"/>
    </row>
    <row r="81" spans="2:18" s="6" customFormat="1" ht="7.5" customHeight="1">
      <c r="B81" s="19"/>
      <c r="R81" s="20"/>
    </row>
    <row r="82" spans="2:18" s="6" customFormat="1" ht="15.75" customHeight="1">
      <c r="B82" s="19"/>
      <c r="C82" s="16" t="s">
        <v>24</v>
      </c>
      <c r="F82" s="14" t="str">
        <f>$E$11</f>
        <v xml:space="preserve"> </v>
      </c>
      <c r="K82" s="16" t="s">
        <v>29</v>
      </c>
      <c r="M82" s="175" t="str">
        <f>$E$17</f>
        <v xml:space="preserve"> </v>
      </c>
      <c r="N82" s="189"/>
      <c r="O82" s="189"/>
      <c r="P82" s="189"/>
      <c r="Q82" s="189"/>
      <c r="R82" s="20"/>
    </row>
    <row r="83" spans="2:18" s="6" customFormat="1" ht="15" customHeight="1">
      <c r="B83" s="19"/>
      <c r="C83" s="16" t="s">
        <v>28</v>
      </c>
      <c r="F83" s="14" t="str">
        <f>IF($E$14="","",$E$14)</f>
        <v xml:space="preserve"> </v>
      </c>
      <c r="K83" s="16" t="s">
        <v>31</v>
      </c>
      <c r="M83" s="175" t="str">
        <f>$E$20</f>
        <v>PROAGRO Pardubice s.r.o.</v>
      </c>
      <c r="N83" s="189"/>
      <c r="O83" s="189"/>
      <c r="P83" s="189"/>
      <c r="Q83" s="189"/>
      <c r="R83" s="20"/>
    </row>
    <row r="84" spans="2:18" s="6" customFormat="1" ht="11.25" customHeight="1">
      <c r="B84" s="19"/>
      <c r="R84" s="20"/>
    </row>
    <row r="85" spans="2:18" s="6" customFormat="1" ht="30" customHeight="1">
      <c r="B85" s="19"/>
      <c r="C85" s="216" t="s">
        <v>87</v>
      </c>
      <c r="D85" s="195"/>
      <c r="E85" s="195"/>
      <c r="F85" s="195"/>
      <c r="G85" s="195"/>
      <c r="H85" s="28"/>
      <c r="I85" s="28"/>
      <c r="J85" s="28"/>
      <c r="K85" s="28"/>
      <c r="L85" s="28"/>
      <c r="M85" s="28"/>
      <c r="N85" s="216" t="s">
        <v>88</v>
      </c>
      <c r="O85" s="189"/>
      <c r="P85" s="189"/>
      <c r="Q85" s="189"/>
      <c r="R85" s="20"/>
    </row>
    <row r="86" spans="2:18" s="6" customFormat="1" ht="11.25" customHeight="1">
      <c r="B86" s="19"/>
      <c r="R86" s="20"/>
    </row>
    <row r="87" spans="2:47" s="6" customFormat="1" ht="30" customHeight="1">
      <c r="B87" s="19"/>
      <c r="C87" s="59" t="s">
        <v>89</v>
      </c>
      <c r="N87" s="186">
        <f>ROUND($N$130,2)</f>
        <v>0</v>
      </c>
      <c r="O87" s="189"/>
      <c r="P87" s="189"/>
      <c r="Q87" s="189"/>
      <c r="R87" s="20"/>
      <c r="AU87" s="6" t="s">
        <v>90</v>
      </c>
    </row>
    <row r="88" spans="2:18" s="77" customFormat="1" ht="25.5" customHeight="1">
      <c r="B88" s="78"/>
      <c r="D88" s="79" t="s">
        <v>91</v>
      </c>
      <c r="N88" s="217">
        <f>ROUND($N$131,2)</f>
        <v>0</v>
      </c>
      <c r="O88" s="218"/>
      <c r="P88" s="218"/>
      <c r="Q88" s="218"/>
      <c r="R88" s="80"/>
    </row>
    <row r="89" spans="2:18" s="73" customFormat="1" ht="21" customHeight="1">
      <c r="B89" s="81"/>
      <c r="D89" s="82" t="s">
        <v>92</v>
      </c>
      <c r="N89" s="219">
        <f>ROUND($N$132,2)</f>
        <v>0</v>
      </c>
      <c r="O89" s="218"/>
      <c r="P89" s="218"/>
      <c r="Q89" s="218"/>
      <c r="R89" s="83"/>
    </row>
    <row r="90" spans="2:18" s="73" customFormat="1" ht="21" customHeight="1">
      <c r="B90" s="81"/>
      <c r="D90" s="82" t="s">
        <v>93</v>
      </c>
      <c r="N90" s="219">
        <f>ROUND($N$142,2)</f>
        <v>0</v>
      </c>
      <c r="O90" s="218"/>
      <c r="P90" s="218"/>
      <c r="Q90" s="218"/>
      <c r="R90" s="83"/>
    </row>
    <row r="91" spans="2:18" s="73" customFormat="1" ht="21" customHeight="1">
      <c r="B91" s="81"/>
      <c r="D91" s="82" t="s">
        <v>94</v>
      </c>
      <c r="N91" s="219">
        <f>ROUND($N$153,2)</f>
        <v>0</v>
      </c>
      <c r="O91" s="218"/>
      <c r="P91" s="218"/>
      <c r="Q91" s="218"/>
      <c r="R91" s="83"/>
    </row>
    <row r="92" spans="2:18" s="73" customFormat="1" ht="21" customHeight="1">
      <c r="B92" s="81"/>
      <c r="D92" s="82" t="s">
        <v>95</v>
      </c>
      <c r="N92" s="219">
        <f>ROUND($N$168,2)</f>
        <v>0</v>
      </c>
      <c r="O92" s="218"/>
      <c r="P92" s="218"/>
      <c r="Q92" s="218"/>
      <c r="R92" s="83"/>
    </row>
    <row r="93" spans="2:18" s="73" customFormat="1" ht="21" customHeight="1">
      <c r="B93" s="81"/>
      <c r="D93" s="82" t="s">
        <v>96</v>
      </c>
      <c r="N93" s="219">
        <f>ROUND($N$175,2)</f>
        <v>0</v>
      </c>
      <c r="O93" s="218"/>
      <c r="P93" s="218"/>
      <c r="Q93" s="218"/>
      <c r="R93" s="83"/>
    </row>
    <row r="94" spans="2:18" s="73" customFormat="1" ht="21" customHeight="1">
      <c r="B94" s="81"/>
      <c r="D94" s="82" t="s">
        <v>97</v>
      </c>
      <c r="N94" s="219">
        <f>ROUND($N$182,2)</f>
        <v>0</v>
      </c>
      <c r="O94" s="218"/>
      <c r="P94" s="218"/>
      <c r="Q94" s="218"/>
      <c r="R94" s="83"/>
    </row>
    <row r="95" spans="2:18" s="73" customFormat="1" ht="21" customHeight="1">
      <c r="B95" s="81"/>
      <c r="D95" s="82" t="s">
        <v>98</v>
      </c>
      <c r="N95" s="219">
        <f>ROUND($N$192,2)</f>
        <v>0</v>
      </c>
      <c r="O95" s="218"/>
      <c r="P95" s="218"/>
      <c r="Q95" s="218"/>
      <c r="R95" s="83"/>
    </row>
    <row r="96" spans="2:18" s="73" customFormat="1" ht="21" customHeight="1">
      <c r="B96" s="81"/>
      <c r="D96" s="82" t="s">
        <v>99</v>
      </c>
      <c r="N96" s="219">
        <f>ROUND($N$197,2)</f>
        <v>0</v>
      </c>
      <c r="O96" s="218"/>
      <c r="P96" s="218"/>
      <c r="Q96" s="218"/>
      <c r="R96" s="83"/>
    </row>
    <row r="97" spans="2:18" s="73" customFormat="1" ht="21" customHeight="1">
      <c r="B97" s="81"/>
      <c r="D97" s="82" t="s">
        <v>100</v>
      </c>
      <c r="N97" s="219">
        <f>ROUND($N$202,2)</f>
        <v>0</v>
      </c>
      <c r="O97" s="218"/>
      <c r="P97" s="218"/>
      <c r="Q97" s="218"/>
      <c r="R97" s="83"/>
    </row>
    <row r="98" spans="2:18" s="73" customFormat="1" ht="21" customHeight="1">
      <c r="B98" s="81"/>
      <c r="D98" s="82" t="s">
        <v>101</v>
      </c>
      <c r="N98" s="219">
        <f>ROUND($N$208,2)</f>
        <v>0</v>
      </c>
      <c r="O98" s="218"/>
      <c r="P98" s="218"/>
      <c r="Q98" s="218"/>
      <c r="R98" s="83"/>
    </row>
    <row r="99" spans="2:18" s="73" customFormat="1" ht="21" customHeight="1">
      <c r="B99" s="81"/>
      <c r="D99" s="82" t="s">
        <v>102</v>
      </c>
      <c r="N99" s="219">
        <f>ROUND($N$213,2)</f>
        <v>0</v>
      </c>
      <c r="O99" s="218"/>
      <c r="P99" s="218"/>
      <c r="Q99" s="218"/>
      <c r="R99" s="83"/>
    </row>
    <row r="100" spans="2:18" s="73" customFormat="1" ht="21" customHeight="1">
      <c r="B100" s="81"/>
      <c r="D100" s="82" t="s">
        <v>103</v>
      </c>
      <c r="N100" s="219">
        <f>ROUND($N$219,2)</f>
        <v>0</v>
      </c>
      <c r="O100" s="218"/>
      <c r="P100" s="218"/>
      <c r="Q100" s="218"/>
      <c r="R100" s="83"/>
    </row>
    <row r="101" spans="2:18" s="73" customFormat="1" ht="21" customHeight="1">
      <c r="B101" s="81"/>
      <c r="D101" s="82" t="s">
        <v>104</v>
      </c>
      <c r="N101" s="219">
        <f>ROUND($N$228,2)</f>
        <v>0</v>
      </c>
      <c r="O101" s="218"/>
      <c r="P101" s="218"/>
      <c r="Q101" s="218"/>
      <c r="R101" s="83"/>
    </row>
    <row r="102" spans="2:18" s="73" customFormat="1" ht="21" customHeight="1">
      <c r="B102" s="81"/>
      <c r="D102" s="82" t="s">
        <v>102</v>
      </c>
      <c r="N102" s="219">
        <f>ROUND($N$234,2)</f>
        <v>0</v>
      </c>
      <c r="O102" s="218"/>
      <c r="P102" s="218"/>
      <c r="Q102" s="218"/>
      <c r="R102" s="83"/>
    </row>
    <row r="103" spans="2:18" s="73" customFormat="1" ht="21" customHeight="1">
      <c r="B103" s="81"/>
      <c r="D103" s="82" t="s">
        <v>105</v>
      </c>
      <c r="N103" s="219">
        <f>ROUND($N$240,2)</f>
        <v>0</v>
      </c>
      <c r="O103" s="218"/>
      <c r="P103" s="218"/>
      <c r="Q103" s="218"/>
      <c r="R103" s="83"/>
    </row>
    <row r="104" spans="2:18" s="73" customFormat="1" ht="21" customHeight="1">
      <c r="B104" s="81"/>
      <c r="D104" s="82" t="s">
        <v>106</v>
      </c>
      <c r="N104" s="219">
        <f>ROUND($N$249,2)</f>
        <v>0</v>
      </c>
      <c r="O104" s="218"/>
      <c r="P104" s="218"/>
      <c r="Q104" s="218"/>
      <c r="R104" s="83"/>
    </row>
    <row r="105" spans="2:18" s="73" customFormat="1" ht="21" customHeight="1">
      <c r="B105" s="81"/>
      <c r="D105" s="82" t="s">
        <v>107</v>
      </c>
      <c r="N105" s="219">
        <f>ROUND($N$258,2)</f>
        <v>0</v>
      </c>
      <c r="O105" s="218"/>
      <c r="P105" s="218"/>
      <c r="Q105" s="218"/>
      <c r="R105" s="83"/>
    </row>
    <row r="106" spans="2:18" s="73" customFormat="1" ht="21" customHeight="1">
      <c r="B106" s="81"/>
      <c r="D106" s="82" t="s">
        <v>108</v>
      </c>
      <c r="N106" s="219">
        <f>ROUND($N$265,2)</f>
        <v>0</v>
      </c>
      <c r="O106" s="218"/>
      <c r="P106" s="218"/>
      <c r="Q106" s="218"/>
      <c r="R106" s="83"/>
    </row>
    <row r="107" spans="2:18" s="73" customFormat="1" ht="21" customHeight="1">
      <c r="B107" s="81"/>
      <c r="D107" s="82" t="s">
        <v>109</v>
      </c>
      <c r="N107" s="219">
        <f>ROUND($N$270,2)</f>
        <v>0</v>
      </c>
      <c r="O107" s="218"/>
      <c r="P107" s="218"/>
      <c r="Q107" s="218"/>
      <c r="R107" s="83"/>
    </row>
    <row r="108" spans="2:18" s="73" customFormat="1" ht="21" customHeight="1">
      <c r="B108" s="81"/>
      <c r="D108" s="82" t="s">
        <v>110</v>
      </c>
      <c r="N108" s="219">
        <f>ROUND($N$284,2)</f>
        <v>0</v>
      </c>
      <c r="O108" s="218"/>
      <c r="P108" s="218"/>
      <c r="Q108" s="218"/>
      <c r="R108" s="83"/>
    </row>
    <row r="109" spans="2:18" s="73" customFormat="1" ht="21" customHeight="1">
      <c r="B109" s="81"/>
      <c r="D109" s="82" t="s">
        <v>111</v>
      </c>
      <c r="N109" s="219">
        <f>ROUND($N$290,2)</f>
        <v>0</v>
      </c>
      <c r="O109" s="218"/>
      <c r="P109" s="218"/>
      <c r="Q109" s="218"/>
      <c r="R109" s="83"/>
    </row>
    <row r="110" spans="2:18" s="77" customFormat="1" ht="25.5" customHeight="1">
      <c r="B110" s="78"/>
      <c r="D110" s="79" t="s">
        <v>112</v>
      </c>
      <c r="N110" s="217">
        <f>ROUND($N$297,2)</f>
        <v>0</v>
      </c>
      <c r="O110" s="218"/>
      <c r="P110" s="218"/>
      <c r="Q110" s="218"/>
      <c r="R110" s="80"/>
    </row>
    <row r="111" spans="2:18" s="6" customFormat="1" ht="22.5" customHeight="1">
      <c r="B111" s="19"/>
      <c r="R111" s="20"/>
    </row>
    <row r="112" spans="2:21" s="6" customFormat="1" ht="30" customHeight="1">
      <c r="B112" s="19"/>
      <c r="C112" s="59" t="s">
        <v>113</v>
      </c>
      <c r="N112" s="186">
        <v>0</v>
      </c>
      <c r="O112" s="189"/>
      <c r="P112" s="189"/>
      <c r="Q112" s="189"/>
      <c r="R112" s="20"/>
      <c r="T112" s="84"/>
      <c r="U112" s="85" t="s">
        <v>36</v>
      </c>
    </row>
    <row r="113" spans="2:18" s="6" customFormat="1" ht="18.75" customHeight="1">
      <c r="B113" s="19"/>
      <c r="R113" s="20"/>
    </row>
    <row r="114" spans="2:18" s="6" customFormat="1" ht="30" customHeight="1">
      <c r="B114" s="19"/>
      <c r="C114" s="72" t="s">
        <v>80</v>
      </c>
      <c r="D114" s="28"/>
      <c r="E114" s="28"/>
      <c r="F114" s="28"/>
      <c r="G114" s="28"/>
      <c r="H114" s="28"/>
      <c r="I114" s="28"/>
      <c r="J114" s="28"/>
      <c r="K114" s="28"/>
      <c r="L114" s="194">
        <f>ROUND(SUM($N$87+$N$112),2)</f>
        <v>0</v>
      </c>
      <c r="M114" s="195"/>
      <c r="N114" s="195"/>
      <c r="O114" s="195"/>
      <c r="P114" s="195"/>
      <c r="Q114" s="195"/>
      <c r="R114" s="20"/>
    </row>
    <row r="115" spans="2:18" s="6" customFormat="1" ht="7.5" customHeight="1"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3"/>
    </row>
    <row r="119" spans="2:18" s="6" customFormat="1" ht="7.5" customHeight="1"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6"/>
    </row>
    <row r="120" spans="2:18" s="6" customFormat="1" ht="37.5" customHeight="1">
      <c r="B120" s="19"/>
      <c r="C120" s="174" t="s">
        <v>114</v>
      </c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20"/>
    </row>
    <row r="121" spans="2:18" s="6" customFormat="1" ht="7.5" customHeight="1">
      <c r="B121" s="19"/>
      <c r="R121" s="20"/>
    </row>
    <row r="122" spans="2:18" s="6" customFormat="1" ht="37.5" customHeight="1">
      <c r="B122" s="19"/>
      <c r="C122" s="49" t="s">
        <v>13</v>
      </c>
      <c r="F122" s="188" t="str">
        <f>$F$6</f>
        <v>Rekonstrukce ulice Česká, Kutná Hora</v>
      </c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R122" s="20"/>
    </row>
    <row r="123" spans="2:18" s="6" customFormat="1" ht="7.5" customHeight="1">
      <c r="B123" s="19"/>
      <c r="F123" s="156" t="s">
        <v>347</v>
      </c>
      <c r="R123" s="20"/>
    </row>
    <row r="124" spans="2:18" s="6" customFormat="1" ht="18.75" customHeight="1">
      <c r="B124" s="19"/>
      <c r="C124" s="16" t="s">
        <v>19</v>
      </c>
      <c r="F124" s="14" t="str">
        <f>$F$8</f>
        <v>Kutná Hora</v>
      </c>
      <c r="K124" s="16" t="s">
        <v>21</v>
      </c>
      <c r="M124" s="192">
        <f>IF($O$8="","",$O$8)</f>
        <v>42803</v>
      </c>
      <c r="N124" s="189"/>
      <c r="O124" s="189"/>
      <c r="P124" s="189"/>
      <c r="R124" s="20"/>
    </row>
    <row r="125" spans="2:18" s="6" customFormat="1" ht="7.5" customHeight="1">
      <c r="B125" s="19"/>
      <c r="R125" s="20"/>
    </row>
    <row r="126" spans="2:18" s="6" customFormat="1" ht="15.75" customHeight="1">
      <c r="B126" s="19"/>
      <c r="C126" s="16" t="s">
        <v>24</v>
      </c>
      <c r="F126" s="14" t="str">
        <f>$E$11</f>
        <v xml:space="preserve"> </v>
      </c>
      <c r="K126" s="16" t="s">
        <v>29</v>
      </c>
      <c r="M126" s="175" t="str">
        <f>$E$17</f>
        <v xml:space="preserve"> </v>
      </c>
      <c r="N126" s="189"/>
      <c r="O126" s="189"/>
      <c r="P126" s="189"/>
      <c r="Q126" s="189"/>
      <c r="R126" s="20"/>
    </row>
    <row r="127" spans="2:36" s="6" customFormat="1" ht="15" customHeight="1">
      <c r="B127" s="19"/>
      <c r="C127" s="16" t="s">
        <v>28</v>
      </c>
      <c r="F127" s="14" t="str">
        <f>IF($E$14="","",$E$14)</f>
        <v xml:space="preserve"> </v>
      </c>
      <c r="K127" s="16" t="s">
        <v>31</v>
      </c>
      <c r="M127" s="175" t="str">
        <f>$E$20</f>
        <v>PROAGRO Pardubice s.r.o.</v>
      </c>
      <c r="N127" s="189"/>
      <c r="O127" s="189"/>
      <c r="P127" s="189"/>
      <c r="Q127" s="189"/>
      <c r="R127" s="20"/>
      <c r="AC127" s="138"/>
      <c r="AD127" s="138"/>
      <c r="AE127" s="138"/>
      <c r="AF127" s="138"/>
      <c r="AG127" s="138"/>
      <c r="AH127" s="138"/>
      <c r="AI127" s="138"/>
      <c r="AJ127" s="138"/>
    </row>
    <row r="128" spans="2:36" s="6" customFormat="1" ht="11.25" customHeight="1">
      <c r="B128" s="19"/>
      <c r="R128" s="20"/>
      <c r="AC128" s="138"/>
      <c r="AD128" s="138"/>
      <c r="AE128" s="138"/>
      <c r="AF128" s="138"/>
      <c r="AG128" s="138"/>
      <c r="AH128" s="138"/>
      <c r="AI128" s="138"/>
      <c r="AJ128" s="138"/>
    </row>
    <row r="129" spans="2:36" s="86" customFormat="1" ht="30" customHeight="1">
      <c r="B129" s="87"/>
      <c r="C129" s="88" t="s">
        <v>115</v>
      </c>
      <c r="D129" s="89" t="s">
        <v>116</v>
      </c>
      <c r="E129" s="89" t="s">
        <v>54</v>
      </c>
      <c r="F129" s="220" t="s">
        <v>117</v>
      </c>
      <c r="G129" s="221"/>
      <c r="H129" s="221"/>
      <c r="I129" s="221"/>
      <c r="J129" s="89" t="s">
        <v>118</v>
      </c>
      <c r="K129" s="89" t="s">
        <v>119</v>
      </c>
      <c r="L129" s="220" t="s">
        <v>120</v>
      </c>
      <c r="M129" s="221"/>
      <c r="N129" s="220" t="s">
        <v>121</v>
      </c>
      <c r="O129" s="221"/>
      <c r="P129" s="221"/>
      <c r="Q129" s="222"/>
      <c r="R129" s="90"/>
      <c r="T129" s="54" t="s">
        <v>122</v>
      </c>
      <c r="U129" s="55" t="s">
        <v>36</v>
      </c>
      <c r="V129" s="55" t="s">
        <v>123</v>
      </c>
      <c r="W129" s="55" t="s">
        <v>124</v>
      </c>
      <c r="X129" s="55" t="s">
        <v>125</v>
      </c>
      <c r="Y129" s="55" t="s">
        <v>126</v>
      </c>
      <c r="Z129" s="55" t="s">
        <v>127</v>
      </c>
      <c r="AA129" s="56" t="s">
        <v>128</v>
      </c>
      <c r="AC129" s="138"/>
      <c r="AD129" s="139"/>
      <c r="AE129" s="139"/>
      <c r="AF129" s="139"/>
      <c r="AG129" s="139"/>
      <c r="AH129" s="139"/>
      <c r="AI129" s="139"/>
      <c r="AJ129" s="139"/>
    </row>
    <row r="130" spans="2:63" s="6" customFormat="1" ht="30" customHeight="1">
      <c r="B130" s="19"/>
      <c r="C130" s="59" t="s">
        <v>84</v>
      </c>
      <c r="N130" s="226">
        <f>N131+N297</f>
        <v>0</v>
      </c>
      <c r="O130" s="189"/>
      <c r="P130" s="189"/>
      <c r="Q130" s="189"/>
      <c r="R130" s="20"/>
      <c r="T130" s="58"/>
      <c r="U130" s="33"/>
      <c r="V130" s="33"/>
      <c r="W130" s="91" t="e">
        <f>$W$131+$W$297</f>
        <v>#REF!</v>
      </c>
      <c r="X130" s="33"/>
      <c r="Y130" s="91" t="e">
        <f>$Y$131+$Y$297</f>
        <v>#REF!</v>
      </c>
      <c r="Z130" s="33"/>
      <c r="AA130" s="92" t="e">
        <f>$AA$131+$AA$297</f>
        <v>#REF!</v>
      </c>
      <c r="AC130" s="138"/>
      <c r="AD130" s="138"/>
      <c r="AE130" s="138"/>
      <c r="AF130" s="138"/>
      <c r="AG130" s="138"/>
      <c r="AH130" s="138"/>
      <c r="AI130" s="138"/>
      <c r="AJ130" s="138"/>
      <c r="AT130" s="6" t="s">
        <v>71</v>
      </c>
      <c r="AU130" s="6" t="s">
        <v>90</v>
      </c>
      <c r="BK130" s="93" t="e">
        <f>$BK$131+$BK$297</f>
        <v>#REF!</v>
      </c>
    </row>
    <row r="131" spans="2:63" s="94" customFormat="1" ht="37.5" customHeight="1">
      <c r="B131" s="95"/>
      <c r="D131" s="96" t="s">
        <v>91</v>
      </c>
      <c r="N131" s="227">
        <f>N132+N142+N153+N168+N175+N182+N192+N197+N202+N208+N213+N219+N228+N234+N240+N249+N258+N265+N270+N284+N290</f>
        <v>0</v>
      </c>
      <c r="O131" s="228"/>
      <c r="P131" s="228"/>
      <c r="Q131" s="228"/>
      <c r="R131" s="98"/>
      <c r="T131" s="99"/>
      <c r="W131" s="100" t="e">
        <f>$W$132+$W$142+$W$153+$W$168+$W$175+$W$182+$W$192+$W$197+$W$202+$W$208+$W$213+$W$219+$W$228+$W$234+$W$240+$W$249+$W$258+$W$265+$W$270+$W$284+$W$290</f>
        <v>#REF!</v>
      </c>
      <c r="Y131" s="100" t="e">
        <f>$Y$132+$Y$142+$Y$153+$Y$168+$Y$175+$Y$182+$Y$192+$Y$197+$Y$202+$Y$208+$Y$213+$Y$219+$Y$228+$Y$234+$Y$240+$Y$249+$Y$258+$Y$265+$Y$270+$Y$284+$Y$290</f>
        <v>#REF!</v>
      </c>
      <c r="AA131" s="101" t="e">
        <f>$AA$132+$AA$142+$AA$153+$AA$168+$AA$175+$AA$182+$AA$192+$AA$197+$AA$202+$AA$208+$AA$213+$AA$219+$AA$228+$AA$234+$AA$240+$AA$249+$AA$258+$AA$265+$AA$270+$AA$284+$AA$290</f>
        <v>#REF!</v>
      </c>
      <c r="AC131" s="154"/>
      <c r="AD131" s="140"/>
      <c r="AE131" s="140"/>
      <c r="AF131" s="140"/>
      <c r="AG131" s="140"/>
      <c r="AH131" s="140"/>
      <c r="AI131" s="140"/>
      <c r="AJ131" s="140"/>
      <c r="AR131" s="97" t="s">
        <v>18</v>
      </c>
      <c r="AT131" s="97" t="s">
        <v>71</v>
      </c>
      <c r="AU131" s="97" t="s">
        <v>72</v>
      </c>
      <c r="AY131" s="97" t="s">
        <v>129</v>
      </c>
      <c r="BK131" s="102" t="e">
        <f>$BK$132+$BK$142+$BK$153+$BK$168+$BK$175+$BK$182+$BK$192+$BK$197+$BK$202+$BK$208+$BK$213+$BK$219+$BK$228+$BK$234+$BK$240+$BK$249+$BK$258+$BK$265+$BK$270+$BK$284+$BK$290</f>
        <v>#REF!</v>
      </c>
    </row>
    <row r="132" spans="2:63" s="94" customFormat="1" ht="21" customHeight="1">
      <c r="B132" s="95"/>
      <c r="D132" s="103" t="s">
        <v>92</v>
      </c>
      <c r="N132" s="229">
        <f>SUM(N133:Q141)</f>
        <v>0</v>
      </c>
      <c r="O132" s="228"/>
      <c r="P132" s="228"/>
      <c r="Q132" s="228"/>
      <c r="R132" s="98"/>
      <c r="T132" s="99"/>
      <c r="W132" s="100">
        <f>SUM($W$133:$W$141)</f>
        <v>640.66668</v>
      </c>
      <c r="Y132" s="100">
        <f>SUM($Y$133:$Y$141)</f>
        <v>0</v>
      </c>
      <c r="AA132" s="101">
        <f>SUM($AA$133:$AA$141)</f>
        <v>0</v>
      </c>
      <c r="AC132" s="141"/>
      <c r="AD132" s="140"/>
      <c r="AE132" s="140"/>
      <c r="AF132" s="142"/>
      <c r="AG132" s="140"/>
      <c r="AH132" s="140"/>
      <c r="AI132" s="140"/>
      <c r="AJ132" s="140"/>
      <c r="AR132" s="97" t="s">
        <v>18</v>
      </c>
      <c r="AT132" s="97" t="s">
        <v>71</v>
      </c>
      <c r="AU132" s="97" t="s">
        <v>18</v>
      </c>
      <c r="AY132" s="97" t="s">
        <v>129</v>
      </c>
      <c r="BK132" s="102">
        <f>SUM($BK$133:$BK$141)</f>
        <v>0</v>
      </c>
    </row>
    <row r="133" spans="2:64" s="6" customFormat="1" ht="27" customHeight="1">
      <c r="B133" s="19"/>
      <c r="C133" s="104" t="s">
        <v>18</v>
      </c>
      <c r="D133" s="104" t="s">
        <v>130</v>
      </c>
      <c r="E133" s="105" t="s">
        <v>131</v>
      </c>
      <c r="F133" s="223" t="s">
        <v>132</v>
      </c>
      <c r="G133" s="224"/>
      <c r="H133" s="224"/>
      <c r="I133" s="224"/>
      <c r="J133" s="106" t="s">
        <v>133</v>
      </c>
      <c r="K133" s="107">
        <v>1397.71</v>
      </c>
      <c r="L133" s="225"/>
      <c r="M133" s="224"/>
      <c r="N133" s="225">
        <f>K133*L133</f>
        <v>0</v>
      </c>
      <c r="O133" s="224"/>
      <c r="P133" s="224"/>
      <c r="Q133" s="224"/>
      <c r="R133" s="20"/>
      <c r="T133" s="108"/>
      <c r="U133" s="26" t="s">
        <v>37</v>
      </c>
      <c r="V133" s="109">
        <v>0.117</v>
      </c>
      <c r="W133" s="109">
        <f>$V$133*$K$133</f>
        <v>163.53207</v>
      </c>
      <c r="X133" s="109">
        <v>0</v>
      </c>
      <c r="Y133" s="109">
        <f>$X$133*$K$133</f>
        <v>0</v>
      </c>
      <c r="Z133" s="109">
        <v>0</v>
      </c>
      <c r="AA133" s="110">
        <f>$Z$133*$K$133</f>
        <v>0</v>
      </c>
      <c r="AC133" s="143"/>
      <c r="AD133" s="138"/>
      <c r="AE133" s="138"/>
      <c r="AF133" s="138"/>
      <c r="AG133" s="138"/>
      <c r="AH133" s="138"/>
      <c r="AI133" s="138"/>
      <c r="AJ133" s="138"/>
      <c r="AR133" s="6" t="s">
        <v>134</v>
      </c>
      <c r="AT133" s="6" t="s">
        <v>130</v>
      </c>
      <c r="AU133" s="6" t="s">
        <v>82</v>
      </c>
      <c r="AY133" s="6" t="s">
        <v>129</v>
      </c>
      <c r="BE133" s="111">
        <f>IF($U$133="základní",$N$133,0)</f>
        <v>0</v>
      </c>
      <c r="BF133" s="111">
        <f>IF($U$133="snížená",$N$133,0)</f>
        <v>0</v>
      </c>
      <c r="BG133" s="111">
        <f>IF($U$133="zákl. přenesená",$N$133,0)</f>
        <v>0</v>
      </c>
      <c r="BH133" s="111">
        <f>IF($U$133="sníž. přenesená",$N$133,0)</f>
        <v>0</v>
      </c>
      <c r="BI133" s="111">
        <f>IF($U$133="nulová",$N$133,0)</f>
        <v>0</v>
      </c>
      <c r="BJ133" s="6" t="s">
        <v>18</v>
      </c>
      <c r="BK133" s="112">
        <f>ROUND($L$133*$K$133,3)</f>
        <v>0</v>
      </c>
      <c r="BL133" s="6" t="s">
        <v>134</v>
      </c>
    </row>
    <row r="134" spans="2:64" s="6" customFormat="1" ht="27" customHeight="1">
      <c r="B134" s="19"/>
      <c r="C134" s="104" t="s">
        <v>82</v>
      </c>
      <c r="D134" s="104" t="s">
        <v>130</v>
      </c>
      <c r="E134" s="105" t="s">
        <v>135</v>
      </c>
      <c r="F134" s="223" t="s">
        <v>136</v>
      </c>
      <c r="G134" s="224"/>
      <c r="H134" s="224"/>
      <c r="I134" s="224"/>
      <c r="J134" s="106" t="s">
        <v>133</v>
      </c>
      <c r="K134" s="107">
        <v>1397.71</v>
      </c>
      <c r="L134" s="225"/>
      <c r="M134" s="224"/>
      <c r="N134" s="225">
        <f>K134*L134</f>
        <v>0</v>
      </c>
      <c r="O134" s="224"/>
      <c r="P134" s="224"/>
      <c r="Q134" s="224"/>
      <c r="R134" s="20"/>
      <c r="T134" s="108"/>
      <c r="U134" s="26" t="s">
        <v>37</v>
      </c>
      <c r="V134" s="109">
        <v>0.058</v>
      </c>
      <c r="W134" s="109">
        <f>$V$134*$K$134</f>
        <v>81.06718000000001</v>
      </c>
      <c r="X134" s="109">
        <v>0</v>
      </c>
      <c r="Y134" s="109">
        <f>$X$134*$K$134</f>
        <v>0</v>
      </c>
      <c r="Z134" s="109">
        <v>0</v>
      </c>
      <c r="AA134" s="110">
        <f>$Z$134*$K$134</f>
        <v>0</v>
      </c>
      <c r="AC134" s="144"/>
      <c r="AD134" s="145"/>
      <c r="AE134" s="138"/>
      <c r="AF134" s="138"/>
      <c r="AG134" s="138"/>
      <c r="AH134" s="138"/>
      <c r="AI134" s="138"/>
      <c r="AJ134" s="138"/>
      <c r="AR134" s="6" t="s">
        <v>134</v>
      </c>
      <c r="AT134" s="6" t="s">
        <v>130</v>
      </c>
      <c r="AU134" s="6" t="s">
        <v>82</v>
      </c>
      <c r="AY134" s="6" t="s">
        <v>129</v>
      </c>
      <c r="BE134" s="111">
        <f>IF($U$134="základní",$N$134,0)</f>
        <v>0</v>
      </c>
      <c r="BF134" s="111">
        <f>IF($U$134="snížená",$N$134,0)</f>
        <v>0</v>
      </c>
      <c r="BG134" s="111">
        <f>IF($U$134="zákl. přenesená",$N$134,0)</f>
        <v>0</v>
      </c>
      <c r="BH134" s="111">
        <f>IF($U$134="sníž. přenesená",$N$134,0)</f>
        <v>0</v>
      </c>
      <c r="BI134" s="111">
        <f>IF($U$134="nulová",$N$134,0)</f>
        <v>0</v>
      </c>
      <c r="BJ134" s="6" t="s">
        <v>18</v>
      </c>
      <c r="BK134" s="112">
        <f>ROUND($L$134*$K$134,3)</f>
        <v>0</v>
      </c>
      <c r="BL134" s="6" t="s">
        <v>134</v>
      </c>
    </row>
    <row r="135" spans="2:64" s="6" customFormat="1" ht="27" customHeight="1">
      <c r="B135" s="19"/>
      <c r="C135" s="104" t="s">
        <v>137</v>
      </c>
      <c r="D135" s="104" t="s">
        <v>130</v>
      </c>
      <c r="E135" s="105" t="s">
        <v>138</v>
      </c>
      <c r="F135" s="223" t="s">
        <v>139</v>
      </c>
      <c r="G135" s="224"/>
      <c r="H135" s="224"/>
      <c r="I135" s="224"/>
      <c r="J135" s="106" t="s">
        <v>133</v>
      </c>
      <c r="K135" s="107">
        <v>1397.71</v>
      </c>
      <c r="L135" s="225"/>
      <c r="M135" s="224"/>
      <c r="N135" s="225">
        <f>K135*L135</f>
        <v>0</v>
      </c>
      <c r="O135" s="224"/>
      <c r="P135" s="224"/>
      <c r="Q135" s="224"/>
      <c r="R135" s="20"/>
      <c r="T135" s="108"/>
      <c r="U135" s="26" t="s">
        <v>37</v>
      </c>
      <c r="V135" s="109">
        <v>0.083</v>
      </c>
      <c r="W135" s="109">
        <f>$V$135*$K$135</f>
        <v>116.00993000000001</v>
      </c>
      <c r="X135" s="109">
        <v>0</v>
      </c>
      <c r="Y135" s="109">
        <f>$X$135*$K$135</f>
        <v>0</v>
      </c>
      <c r="Z135" s="109">
        <v>0</v>
      </c>
      <c r="AA135" s="110">
        <f>$Z$135*$K$135</f>
        <v>0</v>
      </c>
      <c r="AC135" s="142"/>
      <c r="AD135" s="138"/>
      <c r="AE135" s="144"/>
      <c r="AF135" s="138"/>
      <c r="AG135" s="138"/>
      <c r="AH135" s="138"/>
      <c r="AI135" s="138"/>
      <c r="AJ135" s="138"/>
      <c r="AR135" s="6" t="s">
        <v>134</v>
      </c>
      <c r="AT135" s="6" t="s">
        <v>130</v>
      </c>
      <c r="AU135" s="6" t="s">
        <v>82</v>
      </c>
      <c r="AY135" s="6" t="s">
        <v>129</v>
      </c>
      <c r="BE135" s="111">
        <f>IF($U$135="základní",$N$135,0)</f>
        <v>0</v>
      </c>
      <c r="BF135" s="111">
        <f>IF($U$135="snížená",$N$135,0)</f>
        <v>0</v>
      </c>
      <c r="BG135" s="111">
        <f>IF($U$135="zákl. přenesená",$N$135,0)</f>
        <v>0</v>
      </c>
      <c r="BH135" s="111">
        <f>IF($U$135="sníž. přenesená",$N$135,0)</f>
        <v>0</v>
      </c>
      <c r="BI135" s="111">
        <f>IF($U$135="nulová",$N$135,0)</f>
        <v>0</v>
      </c>
      <c r="BJ135" s="6" t="s">
        <v>18</v>
      </c>
      <c r="BK135" s="112">
        <f>ROUND($L$135*$K$135,3)</f>
        <v>0</v>
      </c>
      <c r="BL135" s="6" t="s">
        <v>134</v>
      </c>
    </row>
    <row r="136" spans="2:64" s="6" customFormat="1" ht="39" customHeight="1">
      <c r="B136" s="19"/>
      <c r="C136" s="104" t="s">
        <v>134</v>
      </c>
      <c r="D136" s="104" t="s">
        <v>130</v>
      </c>
      <c r="E136" s="105" t="s">
        <v>140</v>
      </c>
      <c r="F136" s="223" t="s">
        <v>141</v>
      </c>
      <c r="G136" s="224"/>
      <c r="H136" s="224"/>
      <c r="I136" s="224"/>
      <c r="J136" s="106" t="s">
        <v>133</v>
      </c>
      <c r="K136" s="107">
        <f>K137</f>
        <v>1397.71</v>
      </c>
      <c r="L136" s="225"/>
      <c r="M136" s="224"/>
      <c r="N136" s="225">
        <f>K136*L136</f>
        <v>0</v>
      </c>
      <c r="O136" s="224"/>
      <c r="P136" s="224"/>
      <c r="Q136" s="224"/>
      <c r="R136" s="20"/>
      <c r="T136" s="108"/>
      <c r="U136" s="26" t="s">
        <v>37</v>
      </c>
      <c r="V136" s="109">
        <v>0.004</v>
      </c>
      <c r="W136" s="109">
        <f>$V$136*$K$136</f>
        <v>5.59084</v>
      </c>
      <c r="X136" s="109">
        <v>0</v>
      </c>
      <c r="Y136" s="109">
        <f>$X$136*$K$136</f>
        <v>0</v>
      </c>
      <c r="Z136" s="109">
        <v>0</v>
      </c>
      <c r="AA136" s="110">
        <f>$Z$136*$K$136</f>
        <v>0</v>
      </c>
      <c r="AC136" s="144"/>
      <c r="AD136" s="144"/>
      <c r="AE136" s="144"/>
      <c r="AF136" s="138"/>
      <c r="AG136" s="138"/>
      <c r="AH136" s="138"/>
      <c r="AI136" s="138"/>
      <c r="AJ136" s="138"/>
      <c r="AR136" s="6" t="s">
        <v>134</v>
      </c>
      <c r="AT136" s="6" t="s">
        <v>130</v>
      </c>
      <c r="AU136" s="6" t="s">
        <v>82</v>
      </c>
      <c r="AY136" s="6" t="s">
        <v>129</v>
      </c>
      <c r="BE136" s="111">
        <f>IF($U$136="základní",$N$136,0)</f>
        <v>0</v>
      </c>
      <c r="BF136" s="111">
        <f>IF($U$136="snížená",$N$136,0)</f>
        <v>0</v>
      </c>
      <c r="BG136" s="111">
        <f>IF($U$136="zákl. přenesená",$N$136,0)</f>
        <v>0</v>
      </c>
      <c r="BH136" s="111">
        <f>IF($U$136="sníž. přenesená",$N$136,0)</f>
        <v>0</v>
      </c>
      <c r="BI136" s="111">
        <f>IF($U$136="nulová",$N$136,0)</f>
        <v>0</v>
      </c>
      <c r="BJ136" s="6" t="s">
        <v>18</v>
      </c>
      <c r="BK136" s="112">
        <f>ROUND($L$136*$K$136,3)</f>
        <v>0</v>
      </c>
      <c r="BL136" s="6" t="s">
        <v>134</v>
      </c>
    </row>
    <row r="137" spans="2:51" s="6" customFormat="1" ht="15.75" customHeight="1">
      <c r="B137" s="113"/>
      <c r="E137" s="114"/>
      <c r="F137" s="230" t="s">
        <v>310</v>
      </c>
      <c r="G137" s="231"/>
      <c r="H137" s="231"/>
      <c r="I137" s="231"/>
      <c r="K137" s="115">
        <f>13977.1*0.1</f>
        <v>1397.71</v>
      </c>
      <c r="R137" s="116"/>
      <c r="T137" s="117"/>
      <c r="AA137" s="118"/>
      <c r="AC137" s="138"/>
      <c r="AD137" s="138"/>
      <c r="AE137" s="138"/>
      <c r="AF137" s="138"/>
      <c r="AG137" s="138"/>
      <c r="AH137" s="138"/>
      <c r="AI137" s="138"/>
      <c r="AJ137" s="138"/>
      <c r="AT137" s="114" t="s">
        <v>142</v>
      </c>
      <c r="AU137" s="114" t="s">
        <v>82</v>
      </c>
      <c r="AV137" s="114" t="s">
        <v>82</v>
      </c>
      <c r="AW137" s="114" t="s">
        <v>90</v>
      </c>
      <c r="AX137" s="114" t="s">
        <v>18</v>
      </c>
      <c r="AY137" s="114" t="s">
        <v>129</v>
      </c>
    </row>
    <row r="138" spans="2:64" s="6" customFormat="1" ht="27" customHeight="1">
      <c r="B138" s="19"/>
      <c r="C138" s="104" t="s">
        <v>143</v>
      </c>
      <c r="D138" s="104" t="s">
        <v>130</v>
      </c>
      <c r="E138" s="105" t="s">
        <v>144</v>
      </c>
      <c r="F138" s="223" t="s">
        <v>145</v>
      </c>
      <c r="G138" s="224"/>
      <c r="H138" s="224"/>
      <c r="I138" s="224"/>
      <c r="J138" s="106" t="s">
        <v>133</v>
      </c>
      <c r="K138" s="107">
        <v>1397.71</v>
      </c>
      <c r="L138" s="225"/>
      <c r="M138" s="224"/>
      <c r="N138" s="225">
        <f>K138*L138</f>
        <v>0</v>
      </c>
      <c r="O138" s="224"/>
      <c r="P138" s="224"/>
      <c r="Q138" s="224"/>
      <c r="R138" s="20"/>
      <c r="T138" s="108"/>
      <c r="U138" s="26" t="s">
        <v>37</v>
      </c>
      <c r="V138" s="109">
        <v>0.097</v>
      </c>
      <c r="W138" s="109">
        <f>$V$138*$K$138</f>
        <v>135.57787000000002</v>
      </c>
      <c r="X138" s="109">
        <v>0</v>
      </c>
      <c r="Y138" s="109">
        <f>$X$138*$K$138</f>
        <v>0</v>
      </c>
      <c r="Z138" s="109">
        <v>0</v>
      </c>
      <c r="AA138" s="110">
        <f>$Z$138*$K$138</f>
        <v>0</v>
      </c>
      <c r="AC138" s="138"/>
      <c r="AD138" s="138"/>
      <c r="AE138" s="138"/>
      <c r="AF138" s="138"/>
      <c r="AG138" s="138"/>
      <c r="AH138" s="138"/>
      <c r="AI138" s="138"/>
      <c r="AJ138" s="138"/>
      <c r="AR138" s="6" t="s">
        <v>134</v>
      </c>
      <c r="AT138" s="6" t="s">
        <v>130</v>
      </c>
      <c r="AU138" s="6" t="s">
        <v>82</v>
      </c>
      <c r="AY138" s="6" t="s">
        <v>129</v>
      </c>
      <c r="BE138" s="111">
        <f>IF($U$138="základní",$N$138,0)</f>
        <v>0</v>
      </c>
      <c r="BF138" s="111">
        <f>IF($U$138="snížená",$N$138,0)</f>
        <v>0</v>
      </c>
      <c r="BG138" s="111">
        <f>IF($U$138="zákl. přenesená",$N$138,0)</f>
        <v>0</v>
      </c>
      <c r="BH138" s="111">
        <f>IF($U$138="sníž. přenesená",$N$138,0)</f>
        <v>0</v>
      </c>
      <c r="BI138" s="111">
        <f>IF($U$138="nulová",$N$138,0)</f>
        <v>0</v>
      </c>
      <c r="BJ138" s="6" t="s">
        <v>18</v>
      </c>
      <c r="BK138" s="112">
        <f>ROUND($L$138*$K$138,3)</f>
        <v>0</v>
      </c>
      <c r="BL138" s="6" t="s">
        <v>134</v>
      </c>
    </row>
    <row r="139" spans="2:64" s="6" customFormat="1" ht="15.75" customHeight="1">
      <c r="B139" s="19"/>
      <c r="C139" s="104" t="s">
        <v>146</v>
      </c>
      <c r="D139" s="104" t="s">
        <v>130</v>
      </c>
      <c r="E139" s="105" t="s">
        <v>147</v>
      </c>
      <c r="F139" s="223" t="s">
        <v>148</v>
      </c>
      <c r="G139" s="224"/>
      <c r="H139" s="224"/>
      <c r="I139" s="224"/>
      <c r="J139" s="106" t="s">
        <v>149</v>
      </c>
      <c r="K139" s="107">
        <v>3608.84</v>
      </c>
      <c r="L139" s="225"/>
      <c r="M139" s="224"/>
      <c r="N139" s="225">
        <f>K139*L139</f>
        <v>0</v>
      </c>
      <c r="O139" s="224"/>
      <c r="P139" s="224"/>
      <c r="Q139" s="224"/>
      <c r="R139" s="20"/>
      <c r="T139" s="108"/>
      <c r="U139" s="26" t="s">
        <v>37</v>
      </c>
      <c r="V139" s="109">
        <v>0.035</v>
      </c>
      <c r="W139" s="109">
        <f>$V$139*$K$139</f>
        <v>126.30940000000001</v>
      </c>
      <c r="X139" s="109">
        <v>0</v>
      </c>
      <c r="Y139" s="109">
        <f>$X$139*$K$139</f>
        <v>0</v>
      </c>
      <c r="Z139" s="109">
        <v>0</v>
      </c>
      <c r="AA139" s="110">
        <f>$Z$139*$K$139</f>
        <v>0</v>
      </c>
      <c r="AC139" s="138"/>
      <c r="AD139" s="138"/>
      <c r="AE139" s="138"/>
      <c r="AF139" s="138"/>
      <c r="AG139" s="138"/>
      <c r="AH139" s="138"/>
      <c r="AI139" s="138"/>
      <c r="AJ139" s="138"/>
      <c r="AR139" s="6" t="s">
        <v>134</v>
      </c>
      <c r="AT139" s="6" t="s">
        <v>130</v>
      </c>
      <c r="AU139" s="6" t="s">
        <v>82</v>
      </c>
      <c r="AY139" s="6" t="s">
        <v>129</v>
      </c>
      <c r="BE139" s="111">
        <f>IF($U$139="základní",$N$139,0)</f>
        <v>0</v>
      </c>
      <c r="BF139" s="111">
        <f>IF($U$139="snížená",$N$139,0)</f>
        <v>0</v>
      </c>
      <c r="BG139" s="111">
        <f>IF($U$139="zákl. přenesená",$N$139,0)</f>
        <v>0</v>
      </c>
      <c r="BH139" s="111">
        <f>IF($U$139="sníž. přenesená",$N$139,0)</f>
        <v>0</v>
      </c>
      <c r="BI139" s="111">
        <f>IF($U$139="nulová",$N$139,0)</f>
        <v>0</v>
      </c>
      <c r="BJ139" s="6" t="s">
        <v>18</v>
      </c>
      <c r="BK139" s="112">
        <f>ROUND($L$139*$K$139,3)</f>
        <v>0</v>
      </c>
      <c r="BL139" s="6" t="s">
        <v>134</v>
      </c>
    </row>
    <row r="140" spans="2:64" s="6" customFormat="1" ht="15.75" customHeight="1">
      <c r="B140" s="19"/>
      <c r="C140" s="104" t="s">
        <v>150</v>
      </c>
      <c r="D140" s="104" t="s">
        <v>130</v>
      </c>
      <c r="E140" s="105" t="s">
        <v>151</v>
      </c>
      <c r="F140" s="223" t="s">
        <v>152</v>
      </c>
      <c r="G140" s="224"/>
      <c r="H140" s="224"/>
      <c r="I140" s="224"/>
      <c r="J140" s="106" t="s">
        <v>133</v>
      </c>
      <c r="K140" s="107">
        <v>1397.71</v>
      </c>
      <c r="L140" s="225"/>
      <c r="M140" s="224"/>
      <c r="N140" s="225">
        <f>K140*L140</f>
        <v>0</v>
      </c>
      <c r="O140" s="224"/>
      <c r="P140" s="224"/>
      <c r="Q140" s="224"/>
      <c r="R140" s="20"/>
      <c r="T140" s="108"/>
      <c r="U140" s="26" t="s">
        <v>37</v>
      </c>
      <c r="V140" s="109">
        <v>0.009</v>
      </c>
      <c r="W140" s="109">
        <f>$V$140*$K$140</f>
        <v>12.57939</v>
      </c>
      <c r="X140" s="109">
        <v>0</v>
      </c>
      <c r="Y140" s="109">
        <f>$X$140*$K$140</f>
        <v>0</v>
      </c>
      <c r="Z140" s="109">
        <v>0</v>
      </c>
      <c r="AA140" s="110">
        <f>$Z$140*$K$140</f>
        <v>0</v>
      </c>
      <c r="AC140" s="138"/>
      <c r="AD140" s="138"/>
      <c r="AE140" s="138"/>
      <c r="AF140" s="138"/>
      <c r="AG140" s="138"/>
      <c r="AH140" s="138"/>
      <c r="AI140" s="138"/>
      <c r="AJ140" s="138"/>
      <c r="AR140" s="6" t="s">
        <v>134</v>
      </c>
      <c r="AT140" s="6" t="s">
        <v>130</v>
      </c>
      <c r="AU140" s="6" t="s">
        <v>82</v>
      </c>
      <c r="AY140" s="6" t="s">
        <v>129</v>
      </c>
      <c r="BE140" s="111">
        <f>IF($U$140="základní",$N$140,0)</f>
        <v>0</v>
      </c>
      <c r="BF140" s="111">
        <f>IF($U$140="snížená",$N$140,0)</f>
        <v>0</v>
      </c>
      <c r="BG140" s="111">
        <f>IF($U$140="zákl. přenesená",$N$140,0)</f>
        <v>0</v>
      </c>
      <c r="BH140" s="111">
        <f>IF($U$140="sníž. přenesená",$N$140,0)</f>
        <v>0</v>
      </c>
      <c r="BI140" s="111">
        <f>IF($U$140="nulová",$N$140,0)</f>
        <v>0</v>
      </c>
      <c r="BJ140" s="6" t="s">
        <v>18</v>
      </c>
      <c r="BK140" s="112">
        <f>ROUND($L$140*$K$140,3)</f>
        <v>0</v>
      </c>
      <c r="BL140" s="6" t="s">
        <v>134</v>
      </c>
    </row>
    <row r="141" spans="2:64" s="6" customFormat="1" ht="27" customHeight="1">
      <c r="B141" s="19"/>
      <c r="C141" s="104" t="s">
        <v>153</v>
      </c>
      <c r="D141" s="104" t="s">
        <v>130</v>
      </c>
      <c r="E141" s="105" t="s">
        <v>154</v>
      </c>
      <c r="F141" s="223" t="s">
        <v>155</v>
      </c>
      <c r="G141" s="224"/>
      <c r="H141" s="224"/>
      <c r="I141" s="224"/>
      <c r="J141" s="106" t="s">
        <v>133</v>
      </c>
      <c r="K141" s="107">
        <v>1397.71</v>
      </c>
      <c r="L141" s="225"/>
      <c r="M141" s="224"/>
      <c r="N141" s="225">
        <f>K141*L141</f>
        <v>0</v>
      </c>
      <c r="O141" s="224"/>
      <c r="P141" s="224"/>
      <c r="Q141" s="224"/>
      <c r="R141" s="20"/>
      <c r="T141" s="108"/>
      <c r="U141" s="26" t="s">
        <v>37</v>
      </c>
      <c r="V141" s="109">
        <v>0</v>
      </c>
      <c r="W141" s="109">
        <f>$V$141*$K$141</f>
        <v>0</v>
      </c>
      <c r="X141" s="109">
        <v>0</v>
      </c>
      <c r="Y141" s="109">
        <f>$X$141*$K$141</f>
        <v>0</v>
      </c>
      <c r="Z141" s="109">
        <v>0</v>
      </c>
      <c r="AA141" s="110">
        <f>$Z$141*$K$141</f>
        <v>0</v>
      </c>
      <c r="AC141" s="138"/>
      <c r="AD141" s="138"/>
      <c r="AE141" s="138"/>
      <c r="AF141" s="138"/>
      <c r="AG141" s="138"/>
      <c r="AH141" s="138"/>
      <c r="AI141" s="138"/>
      <c r="AJ141" s="138"/>
      <c r="AR141" s="6" t="s">
        <v>134</v>
      </c>
      <c r="AT141" s="6" t="s">
        <v>130</v>
      </c>
      <c r="AU141" s="6" t="s">
        <v>82</v>
      </c>
      <c r="AY141" s="6" t="s">
        <v>129</v>
      </c>
      <c r="BE141" s="111">
        <f>IF($U$141="základní",$N$141,0)</f>
        <v>0</v>
      </c>
      <c r="BF141" s="111">
        <f>IF($U$141="snížená",$N$141,0)</f>
        <v>0</v>
      </c>
      <c r="BG141" s="111">
        <f>IF($U$141="zákl. přenesená",$N$141,0)</f>
        <v>0</v>
      </c>
      <c r="BH141" s="111">
        <f>IF($U$141="sníž. přenesená",$N$141,0)</f>
        <v>0</v>
      </c>
      <c r="BI141" s="111">
        <f>IF($U$141="nulová",$N$141,0)</f>
        <v>0</v>
      </c>
      <c r="BJ141" s="6" t="s">
        <v>18</v>
      </c>
      <c r="BK141" s="112">
        <f>ROUND($L$141*$K$141,3)</f>
        <v>0</v>
      </c>
      <c r="BL141" s="6" t="s">
        <v>134</v>
      </c>
    </row>
    <row r="142" spans="2:63" s="94" customFormat="1" ht="30.75" customHeight="1">
      <c r="B142" s="95"/>
      <c r="D142" s="103" t="s">
        <v>93</v>
      </c>
      <c r="N142" s="229">
        <f>SUM(N143:Q152)</f>
        <v>0</v>
      </c>
      <c r="O142" s="228"/>
      <c r="P142" s="228"/>
      <c r="Q142" s="228"/>
      <c r="R142" s="98"/>
      <c r="T142" s="99"/>
      <c r="W142" s="100">
        <f>SUM($W$143:$W$152)</f>
        <v>640.2716899999999</v>
      </c>
      <c r="Y142" s="100">
        <f>SUM($Y$143:$Y$152)</f>
        <v>0</v>
      </c>
      <c r="AA142" s="101">
        <f>SUM($AA$143:$AA$152)</f>
        <v>758.0850099999999</v>
      </c>
      <c r="AC142" s="141"/>
      <c r="AD142" s="140"/>
      <c r="AE142" s="140"/>
      <c r="AF142" s="140"/>
      <c r="AG142" s="140"/>
      <c r="AH142" s="140"/>
      <c r="AI142" s="140"/>
      <c r="AJ142" s="140"/>
      <c r="AR142" s="97" t="s">
        <v>18</v>
      </c>
      <c r="AT142" s="97" t="s">
        <v>71</v>
      </c>
      <c r="AU142" s="97" t="s">
        <v>18</v>
      </c>
      <c r="AY142" s="97" t="s">
        <v>129</v>
      </c>
      <c r="BK142" s="102">
        <f>SUM($BK$143:$BK$152)</f>
        <v>0</v>
      </c>
    </row>
    <row r="143" spans="2:64" s="6" customFormat="1" ht="27" customHeight="1">
      <c r="B143" s="19"/>
      <c r="C143" s="104" t="s">
        <v>156</v>
      </c>
      <c r="D143" s="104" t="s">
        <v>130</v>
      </c>
      <c r="E143" s="105" t="s">
        <v>157</v>
      </c>
      <c r="F143" s="223" t="s">
        <v>158</v>
      </c>
      <c r="G143" s="224"/>
      <c r="H143" s="224"/>
      <c r="I143" s="224"/>
      <c r="J143" s="106" t="s">
        <v>149</v>
      </c>
      <c r="K143" s="107">
        <v>2422</v>
      </c>
      <c r="L143" s="225"/>
      <c r="M143" s="224"/>
      <c r="N143" s="225">
        <f aca="true" t="shared" si="0" ref="N143:N149">K143*L143</f>
        <v>0</v>
      </c>
      <c r="O143" s="224"/>
      <c r="P143" s="224"/>
      <c r="Q143" s="224"/>
      <c r="R143" s="20"/>
      <c r="T143" s="108"/>
      <c r="U143" s="26" t="s">
        <v>37</v>
      </c>
      <c r="V143" s="109">
        <v>0.057</v>
      </c>
      <c r="W143" s="109">
        <f>$V$143*$K$143</f>
        <v>138.054</v>
      </c>
      <c r="X143" s="109">
        <v>0</v>
      </c>
      <c r="Y143" s="109">
        <f>$X$143*$K$143</f>
        <v>0</v>
      </c>
      <c r="Z143" s="109">
        <v>0.098</v>
      </c>
      <c r="AA143" s="110">
        <f>$Z$143*$K$143</f>
        <v>237.35600000000002</v>
      </c>
      <c r="AC143" s="146"/>
      <c r="AD143" s="138"/>
      <c r="AE143" s="138"/>
      <c r="AF143" s="138"/>
      <c r="AG143" s="138"/>
      <c r="AH143" s="138"/>
      <c r="AI143" s="138"/>
      <c r="AJ143" s="138"/>
      <c r="AR143" s="6" t="s">
        <v>134</v>
      </c>
      <c r="AT143" s="6" t="s">
        <v>130</v>
      </c>
      <c r="AU143" s="6" t="s">
        <v>82</v>
      </c>
      <c r="AY143" s="6" t="s">
        <v>129</v>
      </c>
      <c r="BE143" s="111">
        <f>IF($U$143="základní",$N$143,0)</f>
        <v>0</v>
      </c>
      <c r="BF143" s="111">
        <f>IF($U$143="snížená",$N$143,0)</f>
        <v>0</v>
      </c>
      <c r="BG143" s="111">
        <f>IF($U$143="zákl. přenesená",$N$143,0)</f>
        <v>0</v>
      </c>
      <c r="BH143" s="111">
        <f>IF($U$143="sníž. přenesená",$N$143,0)</f>
        <v>0</v>
      </c>
      <c r="BI143" s="111">
        <f>IF($U$143="nulová",$N$143,0)</f>
        <v>0</v>
      </c>
      <c r="BJ143" s="6" t="s">
        <v>18</v>
      </c>
      <c r="BK143" s="112">
        <f>ROUND($L$143*$K$143,3)</f>
        <v>0</v>
      </c>
      <c r="BL143" s="6" t="s">
        <v>134</v>
      </c>
    </row>
    <row r="144" spans="2:64" s="6" customFormat="1" ht="27" customHeight="1">
      <c r="B144" s="19"/>
      <c r="C144" s="104" t="s">
        <v>22</v>
      </c>
      <c r="D144" s="104" t="s">
        <v>130</v>
      </c>
      <c r="E144" s="105" t="s">
        <v>159</v>
      </c>
      <c r="F144" s="223" t="s">
        <v>160</v>
      </c>
      <c r="G144" s="224"/>
      <c r="H144" s="224"/>
      <c r="I144" s="224"/>
      <c r="J144" s="106" t="s">
        <v>149</v>
      </c>
      <c r="K144" s="107">
        <v>1390.35</v>
      </c>
      <c r="L144" s="225"/>
      <c r="M144" s="224"/>
      <c r="N144" s="225">
        <f t="shared" si="0"/>
        <v>0</v>
      </c>
      <c r="O144" s="224"/>
      <c r="P144" s="224"/>
      <c r="Q144" s="224"/>
      <c r="R144" s="20"/>
      <c r="T144" s="108"/>
      <c r="U144" s="26" t="s">
        <v>37</v>
      </c>
      <c r="V144" s="109">
        <v>0.078</v>
      </c>
      <c r="W144" s="109">
        <f>$V$144*$K$144</f>
        <v>108.4473</v>
      </c>
      <c r="X144" s="109">
        <v>0</v>
      </c>
      <c r="Y144" s="109">
        <f>$X$144*$K$144</f>
        <v>0</v>
      </c>
      <c r="Z144" s="109">
        <v>0.181</v>
      </c>
      <c r="AA144" s="110">
        <f>$Z$144*$K$144</f>
        <v>251.65335</v>
      </c>
      <c r="AC144" s="144"/>
      <c r="AD144" s="145"/>
      <c r="AE144" s="138"/>
      <c r="AF144" s="138"/>
      <c r="AG144" s="138"/>
      <c r="AH144" s="138"/>
      <c r="AI144" s="138"/>
      <c r="AJ144" s="138"/>
      <c r="AR144" s="6" t="s">
        <v>134</v>
      </c>
      <c r="AT144" s="6" t="s">
        <v>130</v>
      </c>
      <c r="AU144" s="6" t="s">
        <v>82</v>
      </c>
      <c r="AY144" s="6" t="s">
        <v>129</v>
      </c>
      <c r="BE144" s="111">
        <f>IF($U$144="základní",$N$144,0)</f>
        <v>0</v>
      </c>
      <c r="BF144" s="111">
        <f>IF($U$144="snížená",$N$144,0)</f>
        <v>0</v>
      </c>
      <c r="BG144" s="111">
        <f>IF($U$144="zákl. přenesená",$N$144,0)</f>
        <v>0</v>
      </c>
      <c r="BH144" s="111">
        <f>IF($U$144="sníž. přenesená",$N$144,0)</f>
        <v>0</v>
      </c>
      <c r="BI144" s="111">
        <f>IF($U$144="nulová",$N$144,0)</f>
        <v>0</v>
      </c>
      <c r="BJ144" s="6" t="s">
        <v>18</v>
      </c>
      <c r="BK144" s="112">
        <f>ROUND($L$144*$K$144,3)</f>
        <v>0</v>
      </c>
      <c r="BL144" s="6" t="s">
        <v>134</v>
      </c>
    </row>
    <row r="145" spans="2:64" s="6" customFormat="1" ht="15.75" customHeight="1">
      <c r="B145" s="19"/>
      <c r="C145" s="104" t="s">
        <v>161</v>
      </c>
      <c r="D145" s="104" t="s">
        <v>130</v>
      </c>
      <c r="E145" s="105" t="s">
        <v>162</v>
      </c>
      <c r="F145" s="223" t="s">
        <v>163</v>
      </c>
      <c r="G145" s="224"/>
      <c r="H145" s="224"/>
      <c r="I145" s="224"/>
      <c r="J145" s="106" t="s">
        <v>149</v>
      </c>
      <c r="K145" s="107">
        <v>15.76</v>
      </c>
      <c r="L145" s="225"/>
      <c r="M145" s="224"/>
      <c r="N145" s="225">
        <f t="shared" si="0"/>
        <v>0</v>
      </c>
      <c r="O145" s="224"/>
      <c r="P145" s="224"/>
      <c r="Q145" s="224"/>
      <c r="R145" s="20"/>
      <c r="T145" s="108"/>
      <c r="U145" s="26" t="s">
        <v>37</v>
      </c>
      <c r="V145" s="109">
        <v>0.23</v>
      </c>
      <c r="W145" s="109">
        <f>$V$145*$K$145</f>
        <v>3.6248</v>
      </c>
      <c r="X145" s="109">
        <v>0</v>
      </c>
      <c r="Y145" s="109">
        <f>$X$145*$K$145</f>
        <v>0</v>
      </c>
      <c r="Z145" s="109">
        <v>0.281</v>
      </c>
      <c r="AA145" s="110">
        <f>$Z$145*$K$145</f>
        <v>4.42856</v>
      </c>
      <c r="AC145" s="138"/>
      <c r="AD145" s="138"/>
      <c r="AE145" s="138"/>
      <c r="AF145" s="138"/>
      <c r="AG145" s="138"/>
      <c r="AH145" s="138"/>
      <c r="AI145" s="138"/>
      <c r="AJ145" s="138"/>
      <c r="AR145" s="6" t="s">
        <v>134</v>
      </c>
      <c r="AT145" s="6" t="s">
        <v>130</v>
      </c>
      <c r="AU145" s="6" t="s">
        <v>82</v>
      </c>
      <c r="AY145" s="6" t="s">
        <v>129</v>
      </c>
      <c r="BE145" s="111">
        <f>IF($U$145="základní",$N$145,0)</f>
        <v>0</v>
      </c>
      <c r="BF145" s="111">
        <f>IF($U$145="snížená",$N$145,0)</f>
        <v>0</v>
      </c>
      <c r="BG145" s="111">
        <f>IF($U$145="zákl. přenesená",$N$145,0)</f>
        <v>0</v>
      </c>
      <c r="BH145" s="111">
        <f>IF($U$145="sníž. přenesená",$N$145,0)</f>
        <v>0</v>
      </c>
      <c r="BI145" s="111">
        <f>IF($U$145="nulová",$N$145,0)</f>
        <v>0</v>
      </c>
      <c r="BJ145" s="6" t="s">
        <v>18</v>
      </c>
      <c r="BK145" s="112">
        <f>ROUND($L$145*$K$145,3)</f>
        <v>0</v>
      </c>
      <c r="BL145" s="6" t="s">
        <v>134</v>
      </c>
    </row>
    <row r="146" spans="2:64" s="6" customFormat="1" ht="27" customHeight="1">
      <c r="B146" s="19"/>
      <c r="C146" s="104" t="s">
        <v>164</v>
      </c>
      <c r="D146" s="104" t="s">
        <v>130</v>
      </c>
      <c r="E146" s="105" t="s">
        <v>165</v>
      </c>
      <c r="F146" s="223" t="s">
        <v>166</v>
      </c>
      <c r="G146" s="224"/>
      <c r="H146" s="224"/>
      <c r="I146" s="224"/>
      <c r="J146" s="106" t="s">
        <v>149</v>
      </c>
      <c r="K146" s="107">
        <v>108.5</v>
      </c>
      <c r="L146" s="225"/>
      <c r="M146" s="224"/>
      <c r="N146" s="225">
        <f t="shared" si="0"/>
        <v>0</v>
      </c>
      <c r="O146" s="224"/>
      <c r="P146" s="224"/>
      <c r="Q146" s="224"/>
      <c r="R146" s="20"/>
      <c r="T146" s="108"/>
      <c r="U146" s="26" t="s">
        <v>37</v>
      </c>
      <c r="V146" s="109">
        <v>0.16</v>
      </c>
      <c r="W146" s="109">
        <f>$V$146*$K$146</f>
        <v>17.36</v>
      </c>
      <c r="X146" s="109">
        <v>0</v>
      </c>
      <c r="Y146" s="109">
        <f>$X$146*$K$146</f>
        <v>0</v>
      </c>
      <c r="Z146" s="109">
        <v>0.255</v>
      </c>
      <c r="AA146" s="110">
        <f>$Z$146*$K$146</f>
        <v>27.6675</v>
      </c>
      <c r="AC146" s="138"/>
      <c r="AD146" s="138"/>
      <c r="AE146" s="138"/>
      <c r="AF146" s="138"/>
      <c r="AG146" s="138"/>
      <c r="AH146" s="138"/>
      <c r="AI146" s="138"/>
      <c r="AJ146" s="138"/>
      <c r="AR146" s="6" t="s">
        <v>134</v>
      </c>
      <c r="AT146" s="6" t="s">
        <v>130</v>
      </c>
      <c r="AU146" s="6" t="s">
        <v>82</v>
      </c>
      <c r="AY146" s="6" t="s">
        <v>129</v>
      </c>
      <c r="BE146" s="111">
        <f>IF($U$146="základní",$N$146,0)</f>
        <v>0</v>
      </c>
      <c r="BF146" s="111">
        <f>IF($U$146="snížená",$N$146,0)</f>
        <v>0</v>
      </c>
      <c r="BG146" s="111">
        <f>IF($U$146="zákl. přenesená",$N$146,0)</f>
        <v>0</v>
      </c>
      <c r="BH146" s="111">
        <f>IF($U$146="sníž. přenesená",$N$146,0)</f>
        <v>0</v>
      </c>
      <c r="BI146" s="111">
        <f>IF($U$146="nulová",$N$146,0)</f>
        <v>0</v>
      </c>
      <c r="BJ146" s="6" t="s">
        <v>18</v>
      </c>
      <c r="BK146" s="112">
        <f>ROUND($L$146*$K$146,3)</f>
        <v>0</v>
      </c>
      <c r="BL146" s="6" t="s">
        <v>134</v>
      </c>
    </row>
    <row r="147" spans="2:64" s="6" customFormat="1" ht="15.75" customHeight="1">
      <c r="B147" s="19"/>
      <c r="C147" s="104" t="s">
        <v>167</v>
      </c>
      <c r="D147" s="104" t="s">
        <v>130</v>
      </c>
      <c r="E147" s="105" t="s">
        <v>168</v>
      </c>
      <c r="F147" s="223" t="s">
        <v>169</v>
      </c>
      <c r="G147" s="224"/>
      <c r="H147" s="224"/>
      <c r="I147" s="224"/>
      <c r="J147" s="106" t="s">
        <v>170</v>
      </c>
      <c r="K147" s="107">
        <v>786.64</v>
      </c>
      <c r="L147" s="225"/>
      <c r="M147" s="224"/>
      <c r="N147" s="225">
        <f t="shared" si="0"/>
        <v>0</v>
      </c>
      <c r="O147" s="224"/>
      <c r="P147" s="224"/>
      <c r="Q147" s="224"/>
      <c r="R147" s="20"/>
      <c r="T147" s="108"/>
      <c r="U147" s="26" t="s">
        <v>37</v>
      </c>
      <c r="V147" s="109">
        <v>0.272</v>
      </c>
      <c r="W147" s="109">
        <f>$V$147*$K$147</f>
        <v>213.96608</v>
      </c>
      <c r="X147" s="109">
        <v>0</v>
      </c>
      <c r="Y147" s="109">
        <f>$X$147*$K$147</f>
        <v>0</v>
      </c>
      <c r="Z147" s="109">
        <v>0.29</v>
      </c>
      <c r="AA147" s="110">
        <f>$Z$147*$K$147</f>
        <v>228.1256</v>
      </c>
      <c r="AC147" s="138"/>
      <c r="AD147" s="138"/>
      <c r="AE147" s="138"/>
      <c r="AF147" s="138"/>
      <c r="AG147" s="138"/>
      <c r="AH147" s="138"/>
      <c r="AI147" s="138"/>
      <c r="AJ147" s="138"/>
      <c r="AR147" s="6" t="s">
        <v>134</v>
      </c>
      <c r="AT147" s="6" t="s">
        <v>130</v>
      </c>
      <c r="AU147" s="6" t="s">
        <v>82</v>
      </c>
      <c r="AY147" s="6" t="s">
        <v>129</v>
      </c>
      <c r="BE147" s="111">
        <f>IF($U$147="základní",$N$147,0)</f>
        <v>0</v>
      </c>
      <c r="BF147" s="111">
        <f>IF($U$147="snížená",$N$147,0)</f>
        <v>0</v>
      </c>
      <c r="BG147" s="111">
        <f>IF($U$147="zákl. přenesená",$N$147,0)</f>
        <v>0</v>
      </c>
      <c r="BH147" s="111">
        <f>IF($U$147="sníž. přenesená",$N$147,0)</f>
        <v>0</v>
      </c>
      <c r="BI147" s="111">
        <f>IF($U$147="nulová",$N$147,0)</f>
        <v>0</v>
      </c>
      <c r="BJ147" s="6" t="s">
        <v>18</v>
      </c>
      <c r="BK147" s="112">
        <f>ROUND($L$147*$K$147,3)</f>
        <v>0</v>
      </c>
      <c r="BL147" s="6" t="s">
        <v>134</v>
      </c>
    </row>
    <row r="148" spans="2:64" s="6" customFormat="1" ht="15.75" customHeight="1">
      <c r="B148" s="19"/>
      <c r="C148" s="104" t="s">
        <v>171</v>
      </c>
      <c r="D148" s="104" t="s">
        <v>130</v>
      </c>
      <c r="E148" s="105" t="s">
        <v>172</v>
      </c>
      <c r="F148" s="223" t="s">
        <v>173</v>
      </c>
      <c r="G148" s="224"/>
      <c r="H148" s="224"/>
      <c r="I148" s="224"/>
      <c r="J148" s="106" t="s">
        <v>170</v>
      </c>
      <c r="K148" s="107">
        <v>126.35</v>
      </c>
      <c r="L148" s="225"/>
      <c r="M148" s="224"/>
      <c r="N148" s="225">
        <f t="shared" si="0"/>
        <v>0</v>
      </c>
      <c r="O148" s="224"/>
      <c r="P148" s="224"/>
      <c r="Q148" s="224"/>
      <c r="R148" s="20"/>
      <c r="T148" s="108"/>
      <c r="U148" s="26" t="s">
        <v>37</v>
      </c>
      <c r="V148" s="109">
        <v>0.095</v>
      </c>
      <c r="W148" s="109">
        <f>$V$148*$K$148</f>
        <v>12.00325</v>
      </c>
      <c r="X148" s="109">
        <v>0</v>
      </c>
      <c r="Y148" s="109">
        <f>$X$148*$K$148</f>
        <v>0</v>
      </c>
      <c r="Z148" s="109">
        <v>0.04</v>
      </c>
      <c r="AA148" s="110">
        <f>$Z$148*$K$148</f>
        <v>5.054</v>
      </c>
      <c r="AC148" s="138"/>
      <c r="AD148" s="138"/>
      <c r="AE148" s="138"/>
      <c r="AF148" s="138"/>
      <c r="AG148" s="138"/>
      <c r="AH148" s="138"/>
      <c r="AI148" s="138"/>
      <c r="AJ148" s="138"/>
      <c r="AR148" s="6" t="s">
        <v>134</v>
      </c>
      <c r="AT148" s="6" t="s">
        <v>130</v>
      </c>
      <c r="AU148" s="6" t="s">
        <v>82</v>
      </c>
      <c r="AY148" s="6" t="s">
        <v>129</v>
      </c>
      <c r="BE148" s="111">
        <f>IF($U$148="základní",$N$148,0)</f>
        <v>0</v>
      </c>
      <c r="BF148" s="111">
        <f>IF($U$148="snížená",$N$148,0)</f>
        <v>0</v>
      </c>
      <c r="BG148" s="111">
        <f>IF($U$148="zákl. přenesená",$N$148,0)</f>
        <v>0</v>
      </c>
      <c r="BH148" s="111">
        <f>IF($U$148="sníž. přenesená",$N$148,0)</f>
        <v>0</v>
      </c>
      <c r="BI148" s="111">
        <f>IF($U$148="nulová",$N$148,0)</f>
        <v>0</v>
      </c>
      <c r="BJ148" s="6" t="s">
        <v>18</v>
      </c>
      <c r="BK148" s="112">
        <f>ROUND($L$148*$K$148,3)</f>
        <v>0</v>
      </c>
      <c r="BL148" s="6" t="s">
        <v>134</v>
      </c>
    </row>
    <row r="149" spans="2:64" s="6" customFormat="1" ht="27" customHeight="1">
      <c r="B149" s="19"/>
      <c r="C149" s="104" t="s">
        <v>8</v>
      </c>
      <c r="D149" s="104" t="s">
        <v>130</v>
      </c>
      <c r="E149" s="105" t="s">
        <v>174</v>
      </c>
      <c r="F149" s="223" t="s">
        <v>175</v>
      </c>
      <c r="G149" s="224"/>
      <c r="H149" s="224"/>
      <c r="I149" s="224"/>
      <c r="J149" s="106" t="s">
        <v>170</v>
      </c>
      <c r="K149" s="107">
        <v>912.99</v>
      </c>
      <c r="L149" s="225"/>
      <c r="M149" s="224"/>
      <c r="N149" s="225">
        <f t="shared" si="0"/>
        <v>0</v>
      </c>
      <c r="O149" s="224"/>
      <c r="P149" s="224"/>
      <c r="Q149" s="224"/>
      <c r="R149" s="20"/>
      <c r="T149" s="108"/>
      <c r="U149" s="26" t="s">
        <v>37</v>
      </c>
      <c r="V149" s="109">
        <v>0.124</v>
      </c>
      <c r="W149" s="109">
        <f>$V$149*$K$149</f>
        <v>113.21076</v>
      </c>
      <c r="X149" s="109">
        <v>0</v>
      </c>
      <c r="Y149" s="109">
        <f>$X$149*$K$149</f>
        <v>0</v>
      </c>
      <c r="Z149" s="109">
        <v>0</v>
      </c>
      <c r="AA149" s="110">
        <f>$Z$149*$K$149</f>
        <v>0</v>
      </c>
      <c r="AC149" s="138"/>
      <c r="AD149" s="138"/>
      <c r="AE149" s="138"/>
      <c r="AF149" s="138"/>
      <c r="AG149" s="138"/>
      <c r="AH149" s="138"/>
      <c r="AI149" s="138"/>
      <c r="AJ149" s="138"/>
      <c r="AR149" s="6" t="s">
        <v>134</v>
      </c>
      <c r="AT149" s="6" t="s">
        <v>130</v>
      </c>
      <c r="AU149" s="6" t="s">
        <v>82</v>
      </c>
      <c r="AY149" s="6" t="s">
        <v>129</v>
      </c>
      <c r="BE149" s="111">
        <f>IF($U$149="základní",$N$149,0)</f>
        <v>0</v>
      </c>
      <c r="BF149" s="111">
        <f>IF($U$149="snížená",$N$149,0)</f>
        <v>0</v>
      </c>
      <c r="BG149" s="111">
        <f>IF($U$149="zákl. přenesená",$N$149,0)</f>
        <v>0</v>
      </c>
      <c r="BH149" s="111">
        <f>IF($U$149="sníž. přenesená",$N$149,0)</f>
        <v>0</v>
      </c>
      <c r="BI149" s="111">
        <f>IF($U$149="nulová",$N$149,0)</f>
        <v>0</v>
      </c>
      <c r="BJ149" s="6" t="s">
        <v>18</v>
      </c>
      <c r="BK149" s="112">
        <f>ROUND($L$149*$K$149,3)</f>
        <v>0</v>
      </c>
      <c r="BL149" s="6" t="s">
        <v>134</v>
      </c>
    </row>
    <row r="150" spans="2:51" s="6" customFormat="1" ht="15.75" customHeight="1">
      <c r="B150" s="113"/>
      <c r="E150" s="114"/>
      <c r="F150" s="230" t="s">
        <v>176</v>
      </c>
      <c r="G150" s="231"/>
      <c r="H150" s="231"/>
      <c r="I150" s="231"/>
      <c r="K150" s="115">
        <v>912.99</v>
      </c>
      <c r="R150" s="116"/>
      <c r="T150" s="117"/>
      <c r="AA150" s="118"/>
      <c r="AC150" s="138"/>
      <c r="AD150" s="138"/>
      <c r="AE150" s="138"/>
      <c r="AF150" s="138"/>
      <c r="AG150" s="138"/>
      <c r="AH150" s="138"/>
      <c r="AI150" s="138"/>
      <c r="AJ150" s="138"/>
      <c r="AT150" s="114" t="s">
        <v>142</v>
      </c>
      <c r="AU150" s="114" t="s">
        <v>82</v>
      </c>
      <c r="AV150" s="114" t="s">
        <v>82</v>
      </c>
      <c r="AW150" s="114" t="s">
        <v>90</v>
      </c>
      <c r="AX150" s="114" t="s">
        <v>18</v>
      </c>
      <c r="AY150" s="114" t="s">
        <v>129</v>
      </c>
    </row>
    <row r="151" spans="2:64" s="6" customFormat="1" ht="27" customHeight="1">
      <c r="B151" s="19"/>
      <c r="C151" s="104" t="s">
        <v>177</v>
      </c>
      <c r="D151" s="104" t="s">
        <v>130</v>
      </c>
      <c r="E151" s="105" t="s">
        <v>178</v>
      </c>
      <c r="F151" s="223" t="s">
        <v>179</v>
      </c>
      <c r="G151" s="224"/>
      <c r="H151" s="224"/>
      <c r="I151" s="224"/>
      <c r="J151" s="106" t="s">
        <v>149</v>
      </c>
      <c r="K151" s="107">
        <v>108.5</v>
      </c>
      <c r="L151" s="225"/>
      <c r="M151" s="224"/>
      <c r="N151" s="225">
        <f>K151*L151</f>
        <v>0</v>
      </c>
      <c r="O151" s="224"/>
      <c r="P151" s="224"/>
      <c r="Q151" s="224"/>
      <c r="R151" s="20"/>
      <c r="T151" s="108"/>
      <c r="U151" s="26" t="s">
        <v>37</v>
      </c>
      <c r="V151" s="109">
        <v>0.115</v>
      </c>
      <c r="W151" s="109">
        <f>$V$151*$K$151</f>
        <v>12.477500000000001</v>
      </c>
      <c r="X151" s="109">
        <v>0</v>
      </c>
      <c r="Y151" s="109">
        <f>$X$151*$K$151</f>
        <v>0</v>
      </c>
      <c r="Z151" s="109">
        <v>0</v>
      </c>
      <c r="AA151" s="110">
        <f>$Z$151*$K$151</f>
        <v>0</v>
      </c>
      <c r="AC151" s="138"/>
      <c r="AD151" s="138"/>
      <c r="AE151" s="138"/>
      <c r="AF151" s="138"/>
      <c r="AG151" s="138"/>
      <c r="AH151" s="138"/>
      <c r="AI151" s="138"/>
      <c r="AJ151" s="138"/>
      <c r="AR151" s="6" t="s">
        <v>134</v>
      </c>
      <c r="AT151" s="6" t="s">
        <v>130</v>
      </c>
      <c r="AU151" s="6" t="s">
        <v>82</v>
      </c>
      <c r="AY151" s="6" t="s">
        <v>129</v>
      </c>
      <c r="BE151" s="111">
        <f>IF($U$151="základní",$N$151,0)</f>
        <v>0</v>
      </c>
      <c r="BF151" s="111">
        <f>IF($U$151="snížená",$N$151,0)</f>
        <v>0</v>
      </c>
      <c r="BG151" s="111">
        <f>IF($U$151="zákl. přenesená",$N$151,0)</f>
        <v>0</v>
      </c>
      <c r="BH151" s="111">
        <f>IF($U$151="sníž. přenesená",$N$151,0)</f>
        <v>0</v>
      </c>
      <c r="BI151" s="111">
        <f>IF($U$151="nulová",$N$151,0)</f>
        <v>0</v>
      </c>
      <c r="BJ151" s="6" t="s">
        <v>18</v>
      </c>
      <c r="BK151" s="112">
        <f>ROUND($L$151*$K$151,3)</f>
        <v>0</v>
      </c>
      <c r="BL151" s="6" t="s">
        <v>134</v>
      </c>
    </row>
    <row r="152" spans="2:64" s="6" customFormat="1" ht="27" customHeight="1">
      <c r="B152" s="19"/>
      <c r="C152" s="104" t="s">
        <v>180</v>
      </c>
      <c r="D152" s="104" t="s">
        <v>130</v>
      </c>
      <c r="E152" s="105" t="s">
        <v>181</v>
      </c>
      <c r="F152" s="223" t="s">
        <v>182</v>
      </c>
      <c r="G152" s="224"/>
      <c r="H152" s="224"/>
      <c r="I152" s="224"/>
      <c r="J152" s="106" t="s">
        <v>183</v>
      </c>
      <c r="K152" s="107">
        <v>19</v>
      </c>
      <c r="L152" s="225"/>
      <c r="M152" s="224"/>
      <c r="N152" s="225">
        <f>K152*L152</f>
        <v>0</v>
      </c>
      <c r="O152" s="224"/>
      <c r="P152" s="224"/>
      <c r="Q152" s="224"/>
      <c r="R152" s="20"/>
      <c r="T152" s="108"/>
      <c r="U152" s="26" t="s">
        <v>37</v>
      </c>
      <c r="V152" s="109">
        <v>1.112</v>
      </c>
      <c r="W152" s="109">
        <f>$V$152*$K$152</f>
        <v>21.128</v>
      </c>
      <c r="X152" s="109">
        <v>0</v>
      </c>
      <c r="Y152" s="109">
        <f>$X$152*$K$152</f>
        <v>0</v>
      </c>
      <c r="Z152" s="109">
        <v>0.2</v>
      </c>
      <c r="AA152" s="110">
        <f>$Z$152*$K$152</f>
        <v>3.8000000000000003</v>
      </c>
      <c r="AC152" s="138"/>
      <c r="AD152" s="138"/>
      <c r="AE152" s="138"/>
      <c r="AF152" s="138"/>
      <c r="AG152" s="138"/>
      <c r="AH152" s="138"/>
      <c r="AI152" s="138"/>
      <c r="AJ152" s="138"/>
      <c r="AR152" s="6" t="s">
        <v>134</v>
      </c>
      <c r="AT152" s="6" t="s">
        <v>130</v>
      </c>
      <c r="AU152" s="6" t="s">
        <v>82</v>
      </c>
      <c r="AY152" s="6" t="s">
        <v>129</v>
      </c>
      <c r="BE152" s="111">
        <f>IF($U$152="základní",$N$152,0)</f>
        <v>0</v>
      </c>
      <c r="BF152" s="111">
        <f>IF($U$152="snížená",$N$152,0)</f>
        <v>0</v>
      </c>
      <c r="BG152" s="111">
        <f>IF($U$152="zákl. přenesená",$N$152,0)</f>
        <v>0</v>
      </c>
      <c r="BH152" s="111">
        <f>IF($U$152="sníž. přenesená",$N$152,0)</f>
        <v>0</v>
      </c>
      <c r="BI152" s="111">
        <f>IF($U$152="nulová",$N$152,0)</f>
        <v>0</v>
      </c>
      <c r="BJ152" s="6" t="s">
        <v>18</v>
      </c>
      <c r="BK152" s="112">
        <f>ROUND($L$152*$K$152,3)</f>
        <v>0</v>
      </c>
      <c r="BL152" s="6" t="s">
        <v>134</v>
      </c>
    </row>
    <row r="153" spans="2:63" s="94" customFormat="1" ht="30.75" customHeight="1">
      <c r="B153" s="95"/>
      <c r="D153" s="103" t="s">
        <v>94</v>
      </c>
      <c r="N153" s="229">
        <f>SUM(N154:Q164)</f>
        <v>0</v>
      </c>
      <c r="O153" s="228"/>
      <c r="P153" s="228"/>
      <c r="Q153" s="228"/>
      <c r="R153" s="98"/>
      <c r="T153" s="99"/>
      <c r="W153" s="100">
        <f>SUM($W$154:$W$167)</f>
        <v>243.345285</v>
      </c>
      <c r="Y153" s="100">
        <f>SUM($Y$154:$Y$167)</f>
        <v>0</v>
      </c>
      <c r="AA153" s="101">
        <f>SUM($AA$154:$AA$167)</f>
        <v>0</v>
      </c>
      <c r="AC153" s="141"/>
      <c r="AD153" s="140"/>
      <c r="AE153" s="140"/>
      <c r="AF153" s="140"/>
      <c r="AG153" s="140"/>
      <c r="AH153" s="140"/>
      <c r="AI153" s="140"/>
      <c r="AJ153" s="140"/>
      <c r="AR153" s="97" t="s">
        <v>18</v>
      </c>
      <c r="AT153" s="97" t="s">
        <v>71</v>
      </c>
      <c r="AU153" s="97" t="s">
        <v>18</v>
      </c>
      <c r="AY153" s="97" t="s">
        <v>129</v>
      </c>
      <c r="BK153" s="102">
        <f>SUM($BK$154:$BK$167)</f>
        <v>0</v>
      </c>
    </row>
    <row r="154" spans="2:64" s="6" customFormat="1" ht="27" customHeight="1">
      <c r="B154" s="19"/>
      <c r="C154" s="104" t="s">
        <v>184</v>
      </c>
      <c r="D154" s="104" t="s">
        <v>130</v>
      </c>
      <c r="E154" s="105" t="s">
        <v>185</v>
      </c>
      <c r="F154" s="223" t="s">
        <v>186</v>
      </c>
      <c r="G154" s="224"/>
      <c r="H154" s="224"/>
      <c r="I154" s="224"/>
      <c r="J154" s="106" t="s">
        <v>187</v>
      </c>
      <c r="K154" s="107">
        <v>758.085</v>
      </c>
      <c r="L154" s="225"/>
      <c r="M154" s="224"/>
      <c r="N154" s="225">
        <f>K154*L154</f>
        <v>0</v>
      </c>
      <c r="O154" s="224"/>
      <c r="P154" s="224"/>
      <c r="Q154" s="224"/>
      <c r="R154" s="20"/>
      <c r="T154" s="108"/>
      <c r="U154" s="26" t="s">
        <v>37</v>
      </c>
      <c r="V154" s="109">
        <v>0.125</v>
      </c>
      <c r="W154" s="109">
        <f>$V$154*$K$154</f>
        <v>94.760625</v>
      </c>
      <c r="X154" s="109">
        <v>0</v>
      </c>
      <c r="Y154" s="109">
        <f>$X$154*$K$154</f>
        <v>0</v>
      </c>
      <c r="Z154" s="109">
        <v>0</v>
      </c>
      <c r="AA154" s="110">
        <f>$Z$154*$K$154</f>
        <v>0</v>
      </c>
      <c r="AC154" s="143"/>
      <c r="AD154" s="138"/>
      <c r="AE154" s="138"/>
      <c r="AF154" s="138"/>
      <c r="AG154" s="138"/>
      <c r="AH154" s="138"/>
      <c r="AI154" s="138"/>
      <c r="AJ154" s="138"/>
      <c r="AR154" s="6" t="s">
        <v>134</v>
      </c>
      <c r="AT154" s="6" t="s">
        <v>130</v>
      </c>
      <c r="AU154" s="6" t="s">
        <v>82</v>
      </c>
      <c r="AY154" s="6" t="s">
        <v>129</v>
      </c>
      <c r="BE154" s="111">
        <f>IF($U$154="základní",$N$154,0)</f>
        <v>0</v>
      </c>
      <c r="BF154" s="111">
        <f>IF($U$154="snížená",$N$154,0)</f>
        <v>0</v>
      </c>
      <c r="BG154" s="111">
        <f>IF($U$154="zákl. přenesená",$N$154,0)</f>
        <v>0</v>
      </c>
      <c r="BH154" s="111">
        <f>IF($U$154="sníž. přenesená",$N$154,0)</f>
        <v>0</v>
      </c>
      <c r="BI154" s="111">
        <f>IF($U$154="nulová",$N$154,0)</f>
        <v>0</v>
      </c>
      <c r="BJ154" s="6" t="s">
        <v>18</v>
      </c>
      <c r="BK154" s="112">
        <f>ROUND($L$154*$K$154,3)</f>
        <v>0</v>
      </c>
      <c r="BL154" s="6" t="s">
        <v>134</v>
      </c>
    </row>
    <row r="155" spans="2:64" s="6" customFormat="1" ht="27" customHeight="1">
      <c r="B155" s="19"/>
      <c r="C155" s="104" t="s">
        <v>188</v>
      </c>
      <c r="D155" s="104" t="s">
        <v>130</v>
      </c>
      <c r="E155" s="105" t="s">
        <v>189</v>
      </c>
      <c r="F155" s="223" t="s">
        <v>190</v>
      </c>
      <c r="G155" s="224"/>
      <c r="H155" s="224"/>
      <c r="I155" s="224"/>
      <c r="J155" s="106" t="s">
        <v>187</v>
      </c>
      <c r="K155" s="107">
        <v>7580.85</v>
      </c>
      <c r="L155" s="225"/>
      <c r="M155" s="224"/>
      <c r="N155" s="225">
        <f>K155*L155</f>
        <v>0</v>
      </c>
      <c r="O155" s="224"/>
      <c r="P155" s="224"/>
      <c r="Q155" s="224"/>
      <c r="R155" s="20"/>
      <c r="T155" s="108"/>
      <c r="U155" s="26" t="s">
        <v>37</v>
      </c>
      <c r="V155" s="109">
        <v>0.006</v>
      </c>
      <c r="W155" s="109">
        <f>$V$155*$K$155</f>
        <v>45.4851</v>
      </c>
      <c r="X155" s="109">
        <v>0</v>
      </c>
      <c r="Y155" s="109">
        <f>$X$155*$K$155</f>
        <v>0</v>
      </c>
      <c r="Z155" s="109">
        <v>0</v>
      </c>
      <c r="AA155" s="110">
        <f>$Z$155*$K$155</f>
        <v>0</v>
      </c>
      <c r="AC155" s="144"/>
      <c r="AD155" s="143"/>
      <c r="AE155" s="138"/>
      <c r="AF155" s="138"/>
      <c r="AG155" s="138"/>
      <c r="AH155" s="138"/>
      <c r="AI155" s="138"/>
      <c r="AJ155" s="138"/>
      <c r="AR155" s="6" t="s">
        <v>134</v>
      </c>
      <c r="AT155" s="6" t="s">
        <v>130</v>
      </c>
      <c r="AU155" s="6" t="s">
        <v>82</v>
      </c>
      <c r="AY155" s="6" t="s">
        <v>129</v>
      </c>
      <c r="BE155" s="111">
        <f>IF($U$155="základní",$N$155,0)</f>
        <v>0</v>
      </c>
      <c r="BF155" s="111">
        <f>IF($U$155="snížená",$N$155,0)</f>
        <v>0</v>
      </c>
      <c r="BG155" s="111">
        <f>IF($U$155="zákl. přenesená",$N$155,0)</f>
        <v>0</v>
      </c>
      <c r="BH155" s="111">
        <f>IF($U$155="sníž. přenesená",$N$155,0)</f>
        <v>0</v>
      </c>
      <c r="BI155" s="111">
        <f>IF($U$155="nulová",$N$155,0)</f>
        <v>0</v>
      </c>
      <c r="BJ155" s="6" t="s">
        <v>18</v>
      </c>
      <c r="BK155" s="112">
        <f>ROUND($L$155*$K$155,3)</f>
        <v>0</v>
      </c>
      <c r="BL155" s="6" t="s">
        <v>134</v>
      </c>
    </row>
    <row r="156" spans="2:64" s="6" customFormat="1" ht="15.75" customHeight="1">
      <c r="B156" s="19"/>
      <c r="C156" s="104" t="s">
        <v>191</v>
      </c>
      <c r="D156" s="104" t="s">
        <v>130</v>
      </c>
      <c r="E156" s="105" t="s">
        <v>192</v>
      </c>
      <c r="F156" s="223" t="s">
        <v>193</v>
      </c>
      <c r="G156" s="224"/>
      <c r="H156" s="224"/>
      <c r="I156" s="224"/>
      <c r="J156" s="106" t="s">
        <v>187</v>
      </c>
      <c r="K156" s="107">
        <v>758.085</v>
      </c>
      <c r="L156" s="225"/>
      <c r="M156" s="224"/>
      <c r="N156" s="225">
        <f>K156*L156</f>
        <v>0</v>
      </c>
      <c r="O156" s="224"/>
      <c r="P156" s="224"/>
      <c r="Q156" s="224"/>
      <c r="R156" s="20"/>
      <c r="T156" s="108"/>
      <c r="U156" s="26" t="s">
        <v>37</v>
      </c>
      <c r="V156" s="109">
        <v>0.136</v>
      </c>
      <c r="W156" s="109">
        <f>$V$156*$K$156</f>
        <v>103.09956000000001</v>
      </c>
      <c r="X156" s="109">
        <v>0</v>
      </c>
      <c r="Y156" s="109">
        <f>$X$156*$K$156</f>
        <v>0</v>
      </c>
      <c r="Z156" s="109">
        <v>0</v>
      </c>
      <c r="AA156" s="110">
        <f>$Z$156*$K$156</f>
        <v>0</v>
      </c>
      <c r="AC156" s="142"/>
      <c r="AD156" s="138"/>
      <c r="AE156" s="144"/>
      <c r="AF156" s="138"/>
      <c r="AG156" s="138"/>
      <c r="AH156" s="138"/>
      <c r="AI156" s="138"/>
      <c r="AJ156" s="138"/>
      <c r="AR156" s="6" t="s">
        <v>134</v>
      </c>
      <c r="AT156" s="6" t="s">
        <v>130</v>
      </c>
      <c r="AU156" s="6" t="s">
        <v>82</v>
      </c>
      <c r="AY156" s="6" t="s">
        <v>129</v>
      </c>
      <c r="BE156" s="111">
        <f>IF($U$156="základní",$N$156,0)</f>
        <v>0</v>
      </c>
      <c r="BF156" s="111">
        <f>IF($U$156="snížená",$N$156,0)</f>
        <v>0</v>
      </c>
      <c r="BG156" s="111">
        <f>IF($U$156="zákl. přenesená",$N$156,0)</f>
        <v>0</v>
      </c>
      <c r="BH156" s="111">
        <f>IF($U$156="sníž. přenesená",$N$156,0)</f>
        <v>0</v>
      </c>
      <c r="BI156" s="111">
        <f>IF($U$156="nulová",$N$156,0)</f>
        <v>0</v>
      </c>
      <c r="BJ156" s="6" t="s">
        <v>18</v>
      </c>
      <c r="BK156" s="112">
        <f>ROUND($L$156*$K$156,3)</f>
        <v>0</v>
      </c>
      <c r="BL156" s="6" t="s">
        <v>134</v>
      </c>
    </row>
    <row r="157" spans="2:64" s="6" customFormat="1" ht="27" customHeight="1">
      <c r="B157" s="19"/>
      <c r="C157" s="104" t="s">
        <v>7</v>
      </c>
      <c r="D157" s="104" t="s">
        <v>130</v>
      </c>
      <c r="E157" s="105" t="s">
        <v>194</v>
      </c>
      <c r="F157" s="223" t="s">
        <v>195</v>
      </c>
      <c r="G157" s="224"/>
      <c r="H157" s="224"/>
      <c r="I157" s="224"/>
      <c r="J157" s="106" t="s">
        <v>187</v>
      </c>
      <c r="K157" s="107">
        <v>265.277</v>
      </c>
      <c r="L157" s="225"/>
      <c r="M157" s="224"/>
      <c r="N157" s="225">
        <f>K157*L157</f>
        <v>0</v>
      </c>
      <c r="O157" s="224"/>
      <c r="P157" s="224"/>
      <c r="Q157" s="224"/>
      <c r="R157" s="20"/>
      <c r="T157" s="108"/>
      <c r="U157" s="26" t="s">
        <v>37</v>
      </c>
      <c r="V157" s="109">
        <v>0</v>
      </c>
      <c r="W157" s="109">
        <f>$V$157*$K$157</f>
        <v>0</v>
      </c>
      <c r="X157" s="109">
        <v>0</v>
      </c>
      <c r="Y157" s="109">
        <f>$X$157*$K$157</f>
        <v>0</v>
      </c>
      <c r="Z157" s="109">
        <v>0</v>
      </c>
      <c r="AA157" s="110">
        <f>$Z$157*$K$157</f>
        <v>0</v>
      </c>
      <c r="AC157" s="144"/>
      <c r="AD157" s="144"/>
      <c r="AE157" s="144"/>
      <c r="AF157" s="138"/>
      <c r="AG157" s="138"/>
      <c r="AH157" s="138"/>
      <c r="AI157" s="138"/>
      <c r="AJ157" s="138"/>
      <c r="AR157" s="6" t="s">
        <v>134</v>
      </c>
      <c r="AT157" s="6" t="s">
        <v>130</v>
      </c>
      <c r="AU157" s="6" t="s">
        <v>82</v>
      </c>
      <c r="AY157" s="6" t="s">
        <v>129</v>
      </c>
      <c r="BE157" s="111">
        <f>IF($U$157="základní",$N$157,0)</f>
        <v>0</v>
      </c>
      <c r="BF157" s="111">
        <f>IF($U$157="snížená",$N$157,0)</f>
        <v>0</v>
      </c>
      <c r="BG157" s="111">
        <f>IF($U$157="zákl. přenesená",$N$157,0)</f>
        <v>0</v>
      </c>
      <c r="BH157" s="111">
        <f>IF($U$157="sníž. přenesená",$N$157,0)</f>
        <v>0</v>
      </c>
      <c r="BI157" s="111">
        <f>IF($U$157="nulová",$N$157,0)</f>
        <v>0</v>
      </c>
      <c r="BJ157" s="6" t="s">
        <v>18</v>
      </c>
      <c r="BK157" s="112">
        <f>ROUND($L$157*$K$157,3)</f>
        <v>0</v>
      </c>
      <c r="BL157" s="6" t="s">
        <v>134</v>
      </c>
    </row>
    <row r="158" spans="2:51" s="6" customFormat="1" ht="15.75" customHeight="1">
      <c r="B158" s="113"/>
      <c r="E158" s="114"/>
      <c r="F158" s="230" t="s">
        <v>196</v>
      </c>
      <c r="G158" s="231"/>
      <c r="H158" s="231"/>
      <c r="I158" s="231"/>
      <c r="K158" s="115">
        <v>4.429</v>
      </c>
      <c r="R158" s="116"/>
      <c r="T158" s="117"/>
      <c r="AA158" s="118"/>
      <c r="AC158" s="138"/>
      <c r="AD158" s="138"/>
      <c r="AE158" s="138"/>
      <c r="AF158" s="138"/>
      <c r="AG158" s="138"/>
      <c r="AH158" s="138"/>
      <c r="AI158" s="138"/>
      <c r="AJ158" s="138"/>
      <c r="AT158" s="114" t="s">
        <v>142</v>
      </c>
      <c r="AU158" s="114" t="s">
        <v>82</v>
      </c>
      <c r="AV158" s="114" t="s">
        <v>82</v>
      </c>
      <c r="AW158" s="114" t="s">
        <v>90</v>
      </c>
      <c r="AX158" s="114" t="s">
        <v>72</v>
      </c>
      <c r="AY158" s="114" t="s">
        <v>129</v>
      </c>
    </row>
    <row r="159" spans="2:51" s="6" customFormat="1" ht="15.75" customHeight="1">
      <c r="B159" s="113"/>
      <c r="E159" s="114"/>
      <c r="F159" s="230" t="s">
        <v>197</v>
      </c>
      <c r="G159" s="231"/>
      <c r="H159" s="231"/>
      <c r="I159" s="231"/>
      <c r="K159" s="115">
        <v>27.668</v>
      </c>
      <c r="R159" s="116"/>
      <c r="T159" s="117"/>
      <c r="AA159" s="118"/>
      <c r="AC159" s="138"/>
      <c r="AD159" s="138"/>
      <c r="AE159" s="138"/>
      <c r="AF159" s="138"/>
      <c r="AG159" s="138"/>
      <c r="AH159" s="138"/>
      <c r="AI159" s="138"/>
      <c r="AJ159" s="138"/>
      <c r="AT159" s="114" t="s">
        <v>142</v>
      </c>
      <c r="AU159" s="114" t="s">
        <v>82</v>
      </c>
      <c r="AV159" s="114" t="s">
        <v>82</v>
      </c>
      <c r="AW159" s="114" t="s">
        <v>90</v>
      </c>
      <c r="AX159" s="114" t="s">
        <v>72</v>
      </c>
      <c r="AY159" s="114" t="s">
        <v>129</v>
      </c>
    </row>
    <row r="160" spans="2:51" s="6" customFormat="1" ht="15.75" customHeight="1">
      <c r="B160" s="113"/>
      <c r="E160" s="114"/>
      <c r="F160" s="230" t="s">
        <v>198</v>
      </c>
      <c r="G160" s="231"/>
      <c r="H160" s="231"/>
      <c r="I160" s="231"/>
      <c r="K160" s="115">
        <v>228.126</v>
      </c>
      <c r="R160" s="116"/>
      <c r="T160" s="117"/>
      <c r="AA160" s="118"/>
      <c r="AC160" s="138"/>
      <c r="AD160" s="138"/>
      <c r="AE160" s="138"/>
      <c r="AF160" s="138"/>
      <c r="AG160" s="138"/>
      <c r="AH160" s="138"/>
      <c r="AI160" s="138"/>
      <c r="AJ160" s="138"/>
      <c r="AT160" s="114" t="s">
        <v>142</v>
      </c>
      <c r="AU160" s="114" t="s">
        <v>82</v>
      </c>
      <c r="AV160" s="114" t="s">
        <v>82</v>
      </c>
      <c r="AW160" s="114" t="s">
        <v>90</v>
      </c>
      <c r="AX160" s="114" t="s">
        <v>72</v>
      </c>
      <c r="AY160" s="114" t="s">
        <v>129</v>
      </c>
    </row>
    <row r="161" spans="2:51" s="6" customFormat="1" ht="15.75" customHeight="1">
      <c r="B161" s="113"/>
      <c r="E161" s="114"/>
      <c r="F161" s="230" t="s">
        <v>199</v>
      </c>
      <c r="G161" s="231"/>
      <c r="H161" s="231"/>
      <c r="I161" s="231"/>
      <c r="K161" s="115">
        <v>5.054</v>
      </c>
      <c r="R161" s="116"/>
      <c r="T161" s="117"/>
      <c r="AA161" s="118"/>
      <c r="AC161" s="138"/>
      <c r="AD161" s="138"/>
      <c r="AE161" s="138"/>
      <c r="AF161" s="138"/>
      <c r="AG161" s="138"/>
      <c r="AH161" s="138"/>
      <c r="AI161" s="138"/>
      <c r="AJ161" s="138"/>
      <c r="AT161" s="114" t="s">
        <v>142</v>
      </c>
      <c r="AU161" s="114" t="s">
        <v>82</v>
      </c>
      <c r="AV161" s="114" t="s">
        <v>82</v>
      </c>
      <c r="AW161" s="114" t="s">
        <v>90</v>
      </c>
      <c r="AX161" s="114" t="s">
        <v>72</v>
      </c>
      <c r="AY161" s="114" t="s">
        <v>129</v>
      </c>
    </row>
    <row r="162" spans="2:51" s="6" customFormat="1" ht="15.75" customHeight="1">
      <c r="B162" s="119"/>
      <c r="E162" s="120"/>
      <c r="F162" s="232" t="s">
        <v>200</v>
      </c>
      <c r="G162" s="233"/>
      <c r="H162" s="233"/>
      <c r="I162" s="233"/>
      <c r="K162" s="121">
        <v>265.277</v>
      </c>
      <c r="R162" s="122"/>
      <c r="T162" s="123"/>
      <c r="AA162" s="124"/>
      <c r="AC162" s="138"/>
      <c r="AD162" s="138"/>
      <c r="AE162" s="138"/>
      <c r="AF162" s="138"/>
      <c r="AG162" s="138"/>
      <c r="AH162" s="138"/>
      <c r="AI162" s="138"/>
      <c r="AJ162" s="138"/>
      <c r="AT162" s="120" t="s">
        <v>142</v>
      </c>
      <c r="AU162" s="120" t="s">
        <v>82</v>
      </c>
      <c r="AV162" s="120" t="s">
        <v>134</v>
      </c>
      <c r="AW162" s="120" t="s">
        <v>90</v>
      </c>
      <c r="AX162" s="120" t="s">
        <v>18</v>
      </c>
      <c r="AY162" s="120" t="s">
        <v>129</v>
      </c>
    </row>
    <row r="163" spans="2:64" s="6" customFormat="1" ht="27" customHeight="1">
      <c r="B163" s="19"/>
      <c r="C163" s="104" t="s">
        <v>201</v>
      </c>
      <c r="D163" s="104" t="s">
        <v>130</v>
      </c>
      <c r="E163" s="105" t="s">
        <v>202</v>
      </c>
      <c r="F163" s="223" t="s">
        <v>203</v>
      </c>
      <c r="G163" s="224"/>
      <c r="H163" s="224"/>
      <c r="I163" s="224"/>
      <c r="J163" s="106" t="s">
        <v>187</v>
      </c>
      <c r="K163" s="107">
        <v>3.8</v>
      </c>
      <c r="L163" s="225"/>
      <c r="M163" s="224"/>
      <c r="N163" s="225">
        <f>K163*L163</f>
        <v>0</v>
      </c>
      <c r="O163" s="224"/>
      <c r="P163" s="224"/>
      <c r="Q163" s="224"/>
      <c r="R163" s="20"/>
      <c r="T163" s="108"/>
      <c r="U163" s="26" t="s">
        <v>37</v>
      </c>
      <c r="V163" s="109">
        <v>0</v>
      </c>
      <c r="W163" s="109">
        <f>$V$163*$K$163</f>
        <v>0</v>
      </c>
      <c r="X163" s="109">
        <v>0</v>
      </c>
      <c r="Y163" s="109">
        <f>$X$163*$K$163</f>
        <v>0</v>
      </c>
      <c r="Z163" s="109">
        <v>0</v>
      </c>
      <c r="AA163" s="110">
        <f>$Z$163*$K$163</f>
        <v>0</v>
      </c>
      <c r="AC163" s="138"/>
      <c r="AD163" s="138"/>
      <c r="AE163" s="138"/>
      <c r="AF163" s="138"/>
      <c r="AG163" s="138"/>
      <c r="AH163" s="138"/>
      <c r="AI163" s="138"/>
      <c r="AJ163" s="138"/>
      <c r="AR163" s="6" t="s">
        <v>134</v>
      </c>
      <c r="AT163" s="6" t="s">
        <v>130</v>
      </c>
      <c r="AU163" s="6" t="s">
        <v>82</v>
      </c>
      <c r="AY163" s="6" t="s">
        <v>129</v>
      </c>
      <c r="BE163" s="111">
        <f>IF($U$163="základní",$N$163,0)</f>
        <v>0</v>
      </c>
      <c r="BF163" s="111">
        <f>IF($U$163="snížená",$N$163,0)</f>
        <v>0</v>
      </c>
      <c r="BG163" s="111">
        <f>IF($U$163="zákl. přenesená",$N$163,0)</f>
        <v>0</v>
      </c>
      <c r="BH163" s="111">
        <f>IF($U$163="sníž. přenesená",$N$163,0)</f>
        <v>0</v>
      </c>
      <c r="BI163" s="111">
        <f>IF($U$163="nulová",$N$163,0)</f>
        <v>0</v>
      </c>
      <c r="BJ163" s="6" t="s">
        <v>18</v>
      </c>
      <c r="BK163" s="112">
        <f>ROUND($L$163*$K$163,3)</f>
        <v>0</v>
      </c>
      <c r="BL163" s="6" t="s">
        <v>134</v>
      </c>
    </row>
    <row r="164" spans="2:64" s="6" customFormat="1" ht="27" customHeight="1">
      <c r="B164" s="19"/>
      <c r="C164" s="104" t="s">
        <v>204</v>
      </c>
      <c r="D164" s="104" t="s">
        <v>130</v>
      </c>
      <c r="E164" s="105" t="s">
        <v>205</v>
      </c>
      <c r="F164" s="223" t="s">
        <v>206</v>
      </c>
      <c r="G164" s="224"/>
      <c r="H164" s="224"/>
      <c r="I164" s="224"/>
      <c r="J164" s="106" t="s">
        <v>187</v>
      </c>
      <c r="K164" s="107">
        <v>489.009</v>
      </c>
      <c r="L164" s="225"/>
      <c r="M164" s="224"/>
      <c r="N164" s="225">
        <f>K164*L164</f>
        <v>0</v>
      </c>
      <c r="O164" s="224"/>
      <c r="P164" s="224"/>
      <c r="Q164" s="224"/>
      <c r="R164" s="20"/>
      <c r="T164" s="108"/>
      <c r="U164" s="26" t="s">
        <v>37</v>
      </c>
      <c r="V164" s="109">
        <v>0</v>
      </c>
      <c r="W164" s="109">
        <f>$V$164*$K$164</f>
        <v>0</v>
      </c>
      <c r="X164" s="109">
        <v>0</v>
      </c>
      <c r="Y164" s="109">
        <f>$X$164*$K$164</f>
        <v>0</v>
      </c>
      <c r="Z164" s="109">
        <v>0</v>
      </c>
      <c r="AA164" s="110">
        <f>$Z$164*$K$164</f>
        <v>0</v>
      </c>
      <c r="AC164" s="138"/>
      <c r="AD164" s="138"/>
      <c r="AE164" s="138"/>
      <c r="AF164" s="138"/>
      <c r="AG164" s="138"/>
      <c r="AH164" s="138"/>
      <c r="AI164" s="138"/>
      <c r="AJ164" s="138"/>
      <c r="AR164" s="6" t="s">
        <v>134</v>
      </c>
      <c r="AT164" s="6" t="s">
        <v>130</v>
      </c>
      <c r="AU164" s="6" t="s">
        <v>82</v>
      </c>
      <c r="AY164" s="6" t="s">
        <v>129</v>
      </c>
      <c r="BE164" s="111">
        <f>IF($U$164="základní",$N$164,0)</f>
        <v>0</v>
      </c>
      <c r="BF164" s="111">
        <f>IF($U$164="snížená",$N$164,0)</f>
        <v>0</v>
      </c>
      <c r="BG164" s="111">
        <f>IF($U$164="zákl. přenesená",$N$164,0)</f>
        <v>0</v>
      </c>
      <c r="BH164" s="111">
        <f>IF($U$164="sníž. přenesená",$N$164,0)</f>
        <v>0</v>
      </c>
      <c r="BI164" s="111">
        <f>IF($U$164="nulová",$N$164,0)</f>
        <v>0</v>
      </c>
      <c r="BJ164" s="6" t="s">
        <v>18</v>
      </c>
      <c r="BK164" s="112">
        <f>ROUND($L$164*$K$164,3)</f>
        <v>0</v>
      </c>
      <c r="BL164" s="6" t="s">
        <v>134</v>
      </c>
    </row>
    <row r="165" spans="2:51" s="6" customFormat="1" ht="15.75" customHeight="1">
      <c r="B165" s="113"/>
      <c r="E165" s="114"/>
      <c r="F165" s="230" t="s">
        <v>207</v>
      </c>
      <c r="G165" s="231"/>
      <c r="H165" s="231"/>
      <c r="I165" s="231"/>
      <c r="K165" s="115">
        <v>237.356</v>
      </c>
      <c r="R165" s="116"/>
      <c r="T165" s="117"/>
      <c r="AA165" s="118"/>
      <c r="AC165" s="138"/>
      <c r="AD165" s="138"/>
      <c r="AE165" s="138"/>
      <c r="AF165" s="138"/>
      <c r="AG165" s="138"/>
      <c r="AH165" s="138"/>
      <c r="AI165" s="138"/>
      <c r="AJ165" s="138"/>
      <c r="AT165" s="114" t="s">
        <v>142</v>
      </c>
      <c r="AU165" s="114" t="s">
        <v>82</v>
      </c>
      <c r="AV165" s="114" t="s">
        <v>82</v>
      </c>
      <c r="AW165" s="114" t="s">
        <v>90</v>
      </c>
      <c r="AX165" s="114" t="s">
        <v>72</v>
      </c>
      <c r="AY165" s="114" t="s">
        <v>129</v>
      </c>
    </row>
    <row r="166" spans="2:51" s="6" customFormat="1" ht="15.75" customHeight="1">
      <c r="B166" s="113"/>
      <c r="E166" s="114"/>
      <c r="F166" s="230" t="s">
        <v>208</v>
      </c>
      <c r="G166" s="231"/>
      <c r="H166" s="231"/>
      <c r="I166" s="231"/>
      <c r="K166" s="115">
        <v>251.653</v>
      </c>
      <c r="R166" s="116"/>
      <c r="T166" s="117"/>
      <c r="AA166" s="118"/>
      <c r="AC166" s="138"/>
      <c r="AD166" s="138"/>
      <c r="AE166" s="138"/>
      <c r="AF166" s="138"/>
      <c r="AG166" s="138"/>
      <c r="AH166" s="138"/>
      <c r="AI166" s="138"/>
      <c r="AJ166" s="138"/>
      <c r="AT166" s="114" t="s">
        <v>142</v>
      </c>
      <c r="AU166" s="114" t="s">
        <v>82</v>
      </c>
      <c r="AV166" s="114" t="s">
        <v>82</v>
      </c>
      <c r="AW166" s="114" t="s">
        <v>90</v>
      </c>
      <c r="AX166" s="114" t="s">
        <v>72</v>
      </c>
      <c r="AY166" s="114" t="s">
        <v>129</v>
      </c>
    </row>
    <row r="167" spans="2:51" s="6" customFormat="1" ht="15.75" customHeight="1">
      <c r="B167" s="119"/>
      <c r="E167" s="120"/>
      <c r="F167" s="232" t="s">
        <v>200</v>
      </c>
      <c r="G167" s="233"/>
      <c r="H167" s="233"/>
      <c r="I167" s="233"/>
      <c r="K167" s="121">
        <v>489.009</v>
      </c>
      <c r="R167" s="122"/>
      <c r="T167" s="123"/>
      <c r="AA167" s="124"/>
      <c r="AC167" s="138"/>
      <c r="AD167" s="138"/>
      <c r="AE167" s="138"/>
      <c r="AF167" s="138"/>
      <c r="AG167" s="138"/>
      <c r="AH167" s="138"/>
      <c r="AI167" s="138"/>
      <c r="AJ167" s="138"/>
      <c r="AT167" s="120" t="s">
        <v>142</v>
      </c>
      <c r="AU167" s="120" t="s">
        <v>82</v>
      </c>
      <c r="AV167" s="120" t="s">
        <v>134</v>
      </c>
      <c r="AW167" s="120" t="s">
        <v>90</v>
      </c>
      <c r="AX167" s="120" t="s">
        <v>18</v>
      </c>
      <c r="AY167" s="120" t="s">
        <v>129</v>
      </c>
    </row>
    <row r="168" spans="2:63" s="94" customFormat="1" ht="30.75" customHeight="1">
      <c r="B168" s="95"/>
      <c r="D168" s="103" t="s">
        <v>95</v>
      </c>
      <c r="N168" s="229">
        <f>SUM(N169:Q174)</f>
        <v>0</v>
      </c>
      <c r="O168" s="228"/>
      <c r="P168" s="228"/>
      <c r="Q168" s="228"/>
      <c r="R168" s="98"/>
      <c r="T168" s="99"/>
      <c r="W168" s="100">
        <f>SUM($W$169:$W$174)</f>
        <v>72.294628767</v>
      </c>
      <c r="Y168" s="100">
        <f>SUM($Y$169:$Y$174)</f>
        <v>29.871976800000002</v>
      </c>
      <c r="AA168" s="101">
        <f>SUM($AA$169:$AA$174)</f>
        <v>0</v>
      </c>
      <c r="AC168" s="140"/>
      <c r="AD168" s="140"/>
      <c r="AE168" s="140"/>
      <c r="AF168" s="140"/>
      <c r="AG168" s="140"/>
      <c r="AH168" s="140"/>
      <c r="AI168" s="140"/>
      <c r="AJ168" s="140"/>
      <c r="AR168" s="97" t="s">
        <v>18</v>
      </c>
      <c r="AT168" s="97" t="s">
        <v>71</v>
      </c>
      <c r="AU168" s="97" t="s">
        <v>18</v>
      </c>
      <c r="AY168" s="97" t="s">
        <v>129</v>
      </c>
      <c r="BK168" s="102">
        <f>SUM($BK$169:$BK$174)</f>
        <v>0</v>
      </c>
    </row>
    <row r="169" spans="2:64" s="6" customFormat="1" ht="27" customHeight="1">
      <c r="B169" s="19"/>
      <c r="C169" s="104" t="s">
        <v>209</v>
      </c>
      <c r="D169" s="104" t="s">
        <v>130</v>
      </c>
      <c r="E169" s="105" t="s">
        <v>210</v>
      </c>
      <c r="F169" s="223" t="s">
        <v>211</v>
      </c>
      <c r="G169" s="224"/>
      <c r="H169" s="224"/>
      <c r="I169" s="224"/>
      <c r="J169" s="106" t="s">
        <v>170</v>
      </c>
      <c r="K169" s="107">
        <f>132.63+3.3</f>
        <v>135.93</v>
      </c>
      <c r="L169" s="225"/>
      <c r="M169" s="224"/>
      <c r="N169" s="225">
        <f>K169*L169</f>
        <v>0</v>
      </c>
      <c r="O169" s="224"/>
      <c r="P169" s="224"/>
      <c r="Q169" s="224"/>
      <c r="R169" s="20"/>
      <c r="T169" s="108"/>
      <c r="U169" s="26" t="s">
        <v>37</v>
      </c>
      <c r="V169" s="109">
        <v>0.146</v>
      </c>
      <c r="W169" s="109">
        <f>$V$169*$K$169</f>
        <v>19.84578</v>
      </c>
      <c r="X169" s="109">
        <v>0.10988</v>
      </c>
      <c r="Y169" s="109">
        <f>$X$169*$K$169</f>
        <v>14.935988400000001</v>
      </c>
      <c r="Z169" s="109">
        <v>0</v>
      </c>
      <c r="AA169" s="110">
        <f>$Z$169*$K$169</f>
        <v>0</v>
      </c>
      <c r="AC169" s="138"/>
      <c r="AD169" s="138"/>
      <c r="AE169" s="138"/>
      <c r="AF169" s="138"/>
      <c r="AG169" s="138"/>
      <c r="AH169" s="138"/>
      <c r="AI169" s="138"/>
      <c r="AJ169" s="138"/>
      <c r="AR169" s="6" t="s">
        <v>134</v>
      </c>
      <c r="AT169" s="6" t="s">
        <v>130</v>
      </c>
      <c r="AU169" s="6" t="s">
        <v>82</v>
      </c>
      <c r="AY169" s="6" t="s">
        <v>129</v>
      </c>
      <c r="BE169" s="111">
        <f>IF($U$169="základní",$N$169,0)</f>
        <v>0</v>
      </c>
      <c r="BF169" s="111">
        <f>IF($U$169="snížená",$N$169,0)</f>
        <v>0</v>
      </c>
      <c r="BG169" s="111">
        <f>IF($U$169="zákl. přenesená",$N$169,0)</f>
        <v>0</v>
      </c>
      <c r="BH169" s="111">
        <f>IF($U$169="sníž. přenesená",$N$169,0)</f>
        <v>0</v>
      </c>
      <c r="BI169" s="111">
        <f>IF($U$169="nulová",$N$169,0)</f>
        <v>0</v>
      </c>
      <c r="BJ169" s="6" t="s">
        <v>18</v>
      </c>
      <c r="BK169" s="112">
        <f>ROUND($L$169*$K$169,3)</f>
        <v>0</v>
      </c>
      <c r="BL169" s="6" t="s">
        <v>134</v>
      </c>
    </row>
    <row r="170" spans="2:64" s="6" customFormat="1" ht="27" customHeight="1">
      <c r="B170" s="19"/>
      <c r="C170" s="104">
        <v>25</v>
      </c>
      <c r="D170" s="104" t="s">
        <v>130</v>
      </c>
      <c r="E170" s="105"/>
      <c r="F170" s="223" t="s">
        <v>326</v>
      </c>
      <c r="G170" s="224"/>
      <c r="H170" s="224"/>
      <c r="I170" s="224"/>
      <c r="J170" s="106" t="s">
        <v>170</v>
      </c>
      <c r="K170" s="107">
        <f>132.63+3.3</f>
        <v>135.93</v>
      </c>
      <c r="L170" s="225"/>
      <c r="M170" s="224"/>
      <c r="N170" s="225">
        <f>K170*L170</f>
        <v>0</v>
      </c>
      <c r="O170" s="224"/>
      <c r="P170" s="224"/>
      <c r="Q170" s="224"/>
      <c r="R170" s="20"/>
      <c r="T170" s="108"/>
      <c r="U170" s="26" t="s">
        <v>37</v>
      </c>
      <c r="V170" s="109">
        <v>0.146</v>
      </c>
      <c r="W170" s="109">
        <f>$V$169*$K$169</f>
        <v>19.84578</v>
      </c>
      <c r="X170" s="109">
        <v>0.10988</v>
      </c>
      <c r="Y170" s="109">
        <f>$X$169*$K$169</f>
        <v>14.935988400000001</v>
      </c>
      <c r="Z170" s="109">
        <v>0</v>
      </c>
      <c r="AA170" s="110">
        <f>$Z$169*$K$169</f>
        <v>0</v>
      </c>
      <c r="AC170" s="138"/>
      <c r="AD170" s="138"/>
      <c r="AE170" s="138"/>
      <c r="AF170" s="138"/>
      <c r="AG170" s="138"/>
      <c r="AH170" s="138"/>
      <c r="AI170" s="138"/>
      <c r="AJ170" s="138"/>
      <c r="AR170" s="6" t="s">
        <v>134</v>
      </c>
      <c r="AT170" s="6" t="s">
        <v>130</v>
      </c>
      <c r="AU170" s="6" t="s">
        <v>82</v>
      </c>
      <c r="AY170" s="6" t="s">
        <v>129</v>
      </c>
      <c r="BE170" s="111">
        <f>IF($U$169="základní",$N$169,0)</f>
        <v>0</v>
      </c>
      <c r="BF170" s="111">
        <f>IF($U$169="snížená",$N$169,0)</f>
        <v>0</v>
      </c>
      <c r="BG170" s="111">
        <f>IF($U$169="zákl. přenesená",$N$169,0)</f>
        <v>0</v>
      </c>
      <c r="BH170" s="111">
        <f>IF($U$169="sníž. přenesená",$N$169,0)</f>
        <v>0</v>
      </c>
      <c r="BI170" s="111">
        <f>IF($U$169="nulová",$N$169,0)</f>
        <v>0</v>
      </c>
      <c r="BJ170" s="6" t="s">
        <v>18</v>
      </c>
      <c r="BK170" s="112">
        <f>ROUND($L$169*$K$169,3)</f>
        <v>0</v>
      </c>
      <c r="BL170" s="6" t="s">
        <v>134</v>
      </c>
    </row>
    <row r="171" spans="2:64" s="6" customFormat="1" ht="27" customHeight="1">
      <c r="B171" s="19"/>
      <c r="C171" s="125">
        <v>26</v>
      </c>
      <c r="D171" s="125" t="s">
        <v>212</v>
      </c>
      <c r="E171" s="126" t="s">
        <v>311</v>
      </c>
      <c r="F171" s="234" t="s">
        <v>327</v>
      </c>
      <c r="G171" s="235"/>
      <c r="H171" s="235"/>
      <c r="I171" s="235"/>
      <c r="J171" s="127" t="s">
        <v>187</v>
      </c>
      <c r="K171" s="128">
        <f>K172</f>
        <v>0</v>
      </c>
      <c r="L171" s="236"/>
      <c r="M171" s="235"/>
      <c r="N171" s="236">
        <v>0</v>
      </c>
      <c r="O171" s="224"/>
      <c r="P171" s="224"/>
      <c r="Q171" s="224"/>
      <c r="R171" s="20"/>
      <c r="T171" s="108"/>
      <c r="U171" s="26" t="s">
        <v>37</v>
      </c>
      <c r="V171" s="109">
        <v>0</v>
      </c>
      <c r="W171" s="109">
        <f>$V$171*$K$171</f>
        <v>0</v>
      </c>
      <c r="X171" s="109">
        <v>1</v>
      </c>
      <c r="Y171" s="109">
        <f>$X$171*$K$171</f>
        <v>0</v>
      </c>
      <c r="Z171" s="109">
        <v>0</v>
      </c>
      <c r="AA171" s="110">
        <f>$Z$171*$K$171</f>
        <v>0</v>
      </c>
      <c r="AC171" s="138"/>
      <c r="AD171" s="138"/>
      <c r="AE171" s="138"/>
      <c r="AF171" s="138"/>
      <c r="AG171" s="138"/>
      <c r="AH171" s="138"/>
      <c r="AI171" s="138"/>
      <c r="AJ171" s="138"/>
      <c r="AR171" s="6" t="s">
        <v>153</v>
      </c>
      <c r="AT171" s="6" t="s">
        <v>212</v>
      </c>
      <c r="AU171" s="6" t="s">
        <v>82</v>
      </c>
      <c r="AY171" s="6" t="s">
        <v>129</v>
      </c>
      <c r="BE171" s="111">
        <f>IF($U$171="základní",$N$171,0)</f>
        <v>0</v>
      </c>
      <c r="BF171" s="111">
        <f>IF($U$171="snížená",$N$171,0)</f>
        <v>0</v>
      </c>
      <c r="BG171" s="111">
        <f>IF($U$171="zákl. přenesená",$N$171,0)</f>
        <v>0</v>
      </c>
      <c r="BH171" s="111">
        <f>IF($U$171="sníž. přenesená",$N$171,0)</f>
        <v>0</v>
      </c>
      <c r="BI171" s="111">
        <f>IF($U$171="nulová",$N$171,0)</f>
        <v>0</v>
      </c>
      <c r="BJ171" s="6" t="s">
        <v>18</v>
      </c>
      <c r="BK171" s="112">
        <f>ROUND($L$171*$K$171,3)</f>
        <v>0</v>
      </c>
      <c r="BL171" s="6" t="s">
        <v>134</v>
      </c>
    </row>
    <row r="172" spans="2:51" s="6" customFormat="1" ht="15.75" customHeight="1">
      <c r="B172" s="113"/>
      <c r="E172" s="114"/>
      <c r="F172" s="230" t="s">
        <v>317</v>
      </c>
      <c r="G172" s="231"/>
      <c r="H172" s="231"/>
      <c r="I172" s="231"/>
      <c r="K172" s="115">
        <v>0</v>
      </c>
      <c r="R172" s="116"/>
      <c r="T172" s="117"/>
      <c r="AA172" s="118"/>
      <c r="AC172" s="138"/>
      <c r="AD172" s="138"/>
      <c r="AE172" s="138"/>
      <c r="AF172" s="138"/>
      <c r="AG172" s="138"/>
      <c r="AH172" s="138"/>
      <c r="AI172" s="138"/>
      <c r="AJ172" s="138"/>
      <c r="AT172" s="114" t="s">
        <v>142</v>
      </c>
      <c r="AU172" s="114" t="s">
        <v>82</v>
      </c>
      <c r="AV172" s="114" t="s">
        <v>82</v>
      </c>
      <c r="AW172" s="114" t="s">
        <v>90</v>
      </c>
      <c r="AX172" s="114" t="s">
        <v>18</v>
      </c>
      <c r="AY172" s="114" t="s">
        <v>129</v>
      </c>
    </row>
    <row r="173" spans="2:64" s="6" customFormat="1" ht="27" customHeight="1">
      <c r="B173" s="19"/>
      <c r="C173" s="104">
        <v>29</v>
      </c>
      <c r="D173" s="104" t="s">
        <v>130</v>
      </c>
      <c r="E173" s="105" t="s">
        <v>213</v>
      </c>
      <c r="F173" s="223" t="s">
        <v>214</v>
      </c>
      <c r="G173" s="224"/>
      <c r="H173" s="224"/>
      <c r="I173" s="224"/>
      <c r="J173" s="106" t="s">
        <v>170</v>
      </c>
      <c r="K173" s="107">
        <v>135.93</v>
      </c>
      <c r="L173" s="225"/>
      <c r="M173" s="224"/>
      <c r="N173" s="225">
        <f>K173*L173</f>
        <v>0</v>
      </c>
      <c r="O173" s="224"/>
      <c r="P173" s="224"/>
      <c r="Q173" s="224"/>
      <c r="R173" s="20"/>
      <c r="T173" s="108"/>
      <c r="U173" s="26" t="s">
        <v>37</v>
      </c>
      <c r="V173" s="109">
        <v>0.067</v>
      </c>
      <c r="W173" s="109">
        <f>$V$173*$K$173</f>
        <v>9.107310000000002</v>
      </c>
      <c r="X173" s="109">
        <v>0</v>
      </c>
      <c r="Y173" s="109">
        <f>$X$173*$K$173</f>
        <v>0</v>
      </c>
      <c r="Z173" s="109">
        <v>0</v>
      </c>
      <c r="AA173" s="110">
        <f>$Z$173*$K$173</f>
        <v>0</v>
      </c>
      <c r="AC173" s="138"/>
      <c r="AD173" s="138"/>
      <c r="AE173" s="138"/>
      <c r="AF173" s="138"/>
      <c r="AG173" s="138"/>
      <c r="AH173" s="138"/>
      <c r="AI173" s="138"/>
      <c r="AJ173" s="138"/>
      <c r="AR173" s="6" t="s">
        <v>134</v>
      </c>
      <c r="AT173" s="6" t="s">
        <v>130</v>
      </c>
      <c r="AU173" s="6" t="s">
        <v>82</v>
      </c>
      <c r="AY173" s="6" t="s">
        <v>129</v>
      </c>
      <c r="BE173" s="111">
        <f>IF($U$173="základní",$N$173,0)</f>
        <v>0</v>
      </c>
      <c r="BF173" s="111">
        <f>IF($U$173="snížená",$N$173,0)</f>
        <v>0</v>
      </c>
      <c r="BG173" s="111">
        <f>IF($U$173="zákl. přenesená",$N$173,0)</f>
        <v>0</v>
      </c>
      <c r="BH173" s="111">
        <f>IF($U$173="sníž. přenesená",$N$173,0)</f>
        <v>0</v>
      </c>
      <c r="BI173" s="111">
        <f>IF($U$173="nulová",$N$173,0)</f>
        <v>0</v>
      </c>
      <c r="BJ173" s="6" t="s">
        <v>18</v>
      </c>
      <c r="BK173" s="112">
        <f>ROUND($L$173*$K$173,3)</f>
        <v>0</v>
      </c>
      <c r="BL173" s="6" t="s">
        <v>134</v>
      </c>
    </row>
    <row r="174" spans="2:64" s="6" customFormat="1" ht="27" customHeight="1">
      <c r="B174" s="19"/>
      <c r="C174" s="104">
        <v>30</v>
      </c>
      <c r="D174" s="104" t="s">
        <v>130</v>
      </c>
      <c r="E174" s="105" t="s">
        <v>215</v>
      </c>
      <c r="F174" s="223" t="s">
        <v>216</v>
      </c>
      <c r="G174" s="224"/>
      <c r="H174" s="224"/>
      <c r="I174" s="224"/>
      <c r="J174" s="106" t="s">
        <v>187</v>
      </c>
      <c r="K174" s="107">
        <f>K169*0.44321</f>
        <v>60.2455353</v>
      </c>
      <c r="L174" s="225"/>
      <c r="M174" s="224"/>
      <c r="N174" s="225">
        <f>K174*L174</f>
        <v>0</v>
      </c>
      <c r="O174" s="224"/>
      <c r="P174" s="224"/>
      <c r="Q174" s="224"/>
      <c r="R174" s="20"/>
      <c r="T174" s="108"/>
      <c r="U174" s="26" t="s">
        <v>37</v>
      </c>
      <c r="V174" s="109">
        <v>0.39</v>
      </c>
      <c r="W174" s="109">
        <f>$V$174*$K$174</f>
        <v>23.495758767</v>
      </c>
      <c r="X174" s="109">
        <v>0</v>
      </c>
      <c r="Y174" s="109">
        <f>$X$174*$K$174</f>
        <v>0</v>
      </c>
      <c r="Z174" s="109">
        <v>0</v>
      </c>
      <c r="AA174" s="110">
        <f>$Z$174*$K$174</f>
        <v>0</v>
      </c>
      <c r="AC174" s="138"/>
      <c r="AD174" s="138"/>
      <c r="AE174" s="138"/>
      <c r="AF174" s="138"/>
      <c r="AG174" s="138"/>
      <c r="AH174" s="138"/>
      <c r="AI174" s="138"/>
      <c r="AJ174" s="138"/>
      <c r="AR174" s="6" t="s">
        <v>134</v>
      </c>
      <c r="AT174" s="6" t="s">
        <v>130</v>
      </c>
      <c r="AU174" s="6" t="s">
        <v>82</v>
      </c>
      <c r="AY174" s="6" t="s">
        <v>129</v>
      </c>
      <c r="BE174" s="111">
        <f>IF($U$174="základní",$N$174,0)</f>
        <v>0</v>
      </c>
      <c r="BF174" s="111">
        <f>IF($U$174="snížená",$N$174,0)</f>
        <v>0</v>
      </c>
      <c r="BG174" s="111">
        <f>IF($U$174="zákl. přenesená",$N$174,0)</f>
        <v>0</v>
      </c>
      <c r="BH174" s="111">
        <f>IF($U$174="sníž. přenesená",$N$174,0)</f>
        <v>0</v>
      </c>
      <c r="BI174" s="111">
        <f>IF($U$174="nulová",$N$174,0)</f>
        <v>0</v>
      </c>
      <c r="BJ174" s="6" t="s">
        <v>18</v>
      </c>
      <c r="BK174" s="112">
        <f>ROUND($L$174*$K$174,3)</f>
        <v>0</v>
      </c>
      <c r="BL174" s="6" t="s">
        <v>134</v>
      </c>
    </row>
    <row r="175" spans="2:63" s="94" customFormat="1" ht="30.75" customHeight="1">
      <c r="B175" s="95"/>
      <c r="D175" s="103" t="s">
        <v>96</v>
      </c>
      <c r="N175" s="229">
        <f>SUM(N176:Q181)</f>
        <v>0</v>
      </c>
      <c r="O175" s="228"/>
      <c r="P175" s="228"/>
      <c r="Q175" s="228"/>
      <c r="R175" s="98"/>
      <c r="T175" s="99"/>
      <c r="W175" s="100">
        <f>SUM($W$176:$W$181)</f>
        <v>276.171055689</v>
      </c>
      <c r="Y175" s="100">
        <f>SUM($Y$176:$Y$181)</f>
        <v>87.9303712</v>
      </c>
      <c r="AA175" s="101">
        <f>SUM($AA$176:$AA$181)</f>
        <v>0</v>
      </c>
      <c r="AC175" s="140"/>
      <c r="AD175" s="140"/>
      <c r="AE175" s="140"/>
      <c r="AF175" s="140"/>
      <c r="AG175" s="140"/>
      <c r="AH175" s="140"/>
      <c r="AI175" s="140"/>
      <c r="AJ175" s="140"/>
      <c r="AR175" s="97" t="s">
        <v>18</v>
      </c>
      <c r="AT175" s="97" t="s">
        <v>71</v>
      </c>
      <c r="AU175" s="97" t="s">
        <v>18</v>
      </c>
      <c r="AY175" s="97" t="s">
        <v>129</v>
      </c>
      <c r="BK175" s="102">
        <f>SUM($BK$176:$BK$181)</f>
        <v>0</v>
      </c>
    </row>
    <row r="176" spans="2:64" s="6" customFormat="1" ht="27" customHeight="1">
      <c r="B176" s="19"/>
      <c r="C176" s="104">
        <v>31</v>
      </c>
      <c r="D176" s="104" t="s">
        <v>130</v>
      </c>
      <c r="E176" s="105" t="s">
        <v>210</v>
      </c>
      <c r="F176" s="223" t="s">
        <v>211</v>
      </c>
      <c r="G176" s="224"/>
      <c r="H176" s="224"/>
      <c r="I176" s="224"/>
      <c r="J176" s="106" t="s">
        <v>170</v>
      </c>
      <c r="K176" s="107">
        <v>664.31</v>
      </c>
      <c r="L176" s="225"/>
      <c r="M176" s="224"/>
      <c r="N176" s="225">
        <f>K176*L176</f>
        <v>0</v>
      </c>
      <c r="O176" s="224"/>
      <c r="P176" s="224"/>
      <c r="Q176" s="224"/>
      <c r="R176" s="20"/>
      <c r="T176" s="108"/>
      <c r="U176" s="26" t="s">
        <v>37</v>
      </c>
      <c r="V176" s="109">
        <v>0.146</v>
      </c>
      <c r="W176" s="109">
        <f>$V$176*$K$176</f>
        <v>96.98925999999999</v>
      </c>
      <c r="X176" s="109">
        <v>0.10988</v>
      </c>
      <c r="Y176" s="109">
        <f>$X$176*$K$176</f>
        <v>72.9943828</v>
      </c>
      <c r="Z176" s="109">
        <v>0</v>
      </c>
      <c r="AA176" s="110">
        <f>$Z$176*$K$176</f>
        <v>0</v>
      </c>
      <c r="AC176" s="138"/>
      <c r="AD176" s="138"/>
      <c r="AE176" s="138"/>
      <c r="AF176" s="138"/>
      <c r="AG176" s="138"/>
      <c r="AH176" s="138"/>
      <c r="AI176" s="138"/>
      <c r="AJ176" s="138"/>
      <c r="AR176" s="6" t="s">
        <v>134</v>
      </c>
      <c r="AT176" s="6" t="s">
        <v>130</v>
      </c>
      <c r="AU176" s="6" t="s">
        <v>82</v>
      </c>
      <c r="AY176" s="6" t="s">
        <v>129</v>
      </c>
      <c r="BE176" s="111">
        <f>IF($U$176="základní",$N$176,0)</f>
        <v>0</v>
      </c>
      <c r="BF176" s="111">
        <f>IF($U$176="snížená",$N$176,0)</f>
        <v>0</v>
      </c>
      <c r="BG176" s="111">
        <f>IF($U$176="zákl. přenesená",$N$176,0)</f>
        <v>0</v>
      </c>
      <c r="BH176" s="111">
        <f>IF($U$176="sníž. přenesená",$N$176,0)</f>
        <v>0</v>
      </c>
      <c r="BI176" s="111">
        <f>IF($U$176="nulová",$N$176,0)</f>
        <v>0</v>
      </c>
      <c r="BJ176" s="6" t="s">
        <v>18</v>
      </c>
      <c r="BK176" s="112">
        <f>ROUND($L$176*$K$176,3)</f>
        <v>0</v>
      </c>
      <c r="BL176" s="6" t="s">
        <v>134</v>
      </c>
    </row>
    <row r="177" spans="2:64" s="6" customFormat="1" ht="27" customHeight="1">
      <c r="B177" s="19"/>
      <c r="C177" s="104">
        <v>32</v>
      </c>
      <c r="D177" s="104" t="s">
        <v>130</v>
      </c>
      <c r="E177" s="105"/>
      <c r="F177" s="223" t="s">
        <v>326</v>
      </c>
      <c r="G177" s="224"/>
      <c r="H177" s="224"/>
      <c r="I177" s="224"/>
      <c r="J177" s="106" t="s">
        <v>170</v>
      </c>
      <c r="K177" s="107">
        <v>664.31</v>
      </c>
      <c r="L177" s="225"/>
      <c r="M177" s="224"/>
      <c r="N177" s="225">
        <f>K177*L177</f>
        <v>0</v>
      </c>
      <c r="O177" s="224"/>
      <c r="P177" s="224"/>
      <c r="Q177" s="224"/>
      <c r="R177" s="20"/>
      <c r="T177" s="108"/>
      <c r="U177" s="26" t="s">
        <v>37</v>
      </c>
      <c r="V177" s="109">
        <v>0.146</v>
      </c>
      <c r="W177" s="109">
        <f>$V$169*$K$169</f>
        <v>19.84578</v>
      </c>
      <c r="X177" s="109">
        <v>0.10988</v>
      </c>
      <c r="Y177" s="109">
        <f>$X$169*$K$169</f>
        <v>14.935988400000001</v>
      </c>
      <c r="Z177" s="109">
        <v>0</v>
      </c>
      <c r="AA177" s="110">
        <f>$Z$169*$K$169</f>
        <v>0</v>
      </c>
      <c r="AC177" s="138"/>
      <c r="AD177" s="138"/>
      <c r="AE177" s="138"/>
      <c r="AF177" s="138"/>
      <c r="AG177" s="138"/>
      <c r="AH177" s="138"/>
      <c r="AI177" s="138"/>
      <c r="AJ177" s="138"/>
      <c r="AR177" s="6" t="s">
        <v>134</v>
      </c>
      <c r="AT177" s="6" t="s">
        <v>130</v>
      </c>
      <c r="AU177" s="6" t="s">
        <v>82</v>
      </c>
      <c r="AY177" s="6" t="s">
        <v>129</v>
      </c>
      <c r="BE177" s="111">
        <f>IF($U$169="základní",$N$169,0)</f>
        <v>0</v>
      </c>
      <c r="BF177" s="111">
        <f>IF($U$169="snížená",$N$169,0)</f>
        <v>0</v>
      </c>
      <c r="BG177" s="111">
        <f>IF($U$169="zákl. přenesená",$N$169,0)</f>
        <v>0</v>
      </c>
      <c r="BH177" s="111">
        <f>IF($U$169="sníž. přenesená",$N$169,0)</f>
        <v>0</v>
      </c>
      <c r="BI177" s="111">
        <f>IF($U$169="nulová",$N$169,0)</f>
        <v>0</v>
      </c>
      <c r="BJ177" s="6" t="s">
        <v>18</v>
      </c>
      <c r="BK177" s="112">
        <f>ROUND($L$169*$K$169,3)</f>
        <v>0</v>
      </c>
      <c r="BL177" s="6" t="s">
        <v>134</v>
      </c>
    </row>
    <row r="178" spans="2:64" s="6" customFormat="1" ht="27" customHeight="1">
      <c r="B178" s="19"/>
      <c r="C178" s="125">
        <v>33</v>
      </c>
      <c r="D178" s="125" t="s">
        <v>212</v>
      </c>
      <c r="E178" s="126" t="s">
        <v>311</v>
      </c>
      <c r="F178" s="234" t="s">
        <v>327</v>
      </c>
      <c r="G178" s="235"/>
      <c r="H178" s="235"/>
      <c r="I178" s="235"/>
      <c r="J178" s="127" t="s">
        <v>187</v>
      </c>
      <c r="K178" s="128">
        <f>K179</f>
        <v>0</v>
      </c>
      <c r="L178" s="236"/>
      <c r="M178" s="235"/>
      <c r="N178" s="236">
        <f>ROUND($L$178*$K$178,3)</f>
        <v>0</v>
      </c>
      <c r="O178" s="224"/>
      <c r="P178" s="224"/>
      <c r="Q178" s="224"/>
      <c r="R178" s="20"/>
      <c r="T178" s="108"/>
      <c r="U178" s="26" t="s">
        <v>37</v>
      </c>
      <c r="V178" s="109">
        <v>0</v>
      </c>
      <c r="W178" s="109">
        <f>$V$178*$K$178</f>
        <v>0</v>
      </c>
      <c r="X178" s="109">
        <v>1</v>
      </c>
      <c r="Y178" s="109">
        <f>$X$178*$K$178</f>
        <v>0</v>
      </c>
      <c r="Z178" s="109">
        <v>0</v>
      </c>
      <c r="AA178" s="110">
        <f>$Z$178*$K$178</f>
        <v>0</v>
      </c>
      <c r="AC178" s="138"/>
      <c r="AD178" s="138"/>
      <c r="AE178" s="138"/>
      <c r="AF178" s="138"/>
      <c r="AG178" s="138"/>
      <c r="AH178" s="138"/>
      <c r="AI178" s="138"/>
      <c r="AJ178" s="138"/>
      <c r="AR178" s="6" t="s">
        <v>153</v>
      </c>
      <c r="AT178" s="6" t="s">
        <v>212</v>
      </c>
      <c r="AU178" s="6" t="s">
        <v>82</v>
      </c>
      <c r="AY178" s="6" t="s">
        <v>129</v>
      </c>
      <c r="BE178" s="111">
        <f>IF($U$178="základní",$N$178,0)</f>
        <v>0</v>
      </c>
      <c r="BF178" s="111">
        <f>IF($U$178="snížená",$N$178,0)</f>
        <v>0</v>
      </c>
      <c r="BG178" s="111">
        <f>IF($U$178="zákl. přenesená",$N$178,0)</f>
        <v>0</v>
      </c>
      <c r="BH178" s="111">
        <f>IF($U$178="sníž. přenesená",$N$178,0)</f>
        <v>0</v>
      </c>
      <c r="BI178" s="111">
        <f>IF($U$178="nulová",$N$178,0)</f>
        <v>0</v>
      </c>
      <c r="BJ178" s="6" t="s">
        <v>18</v>
      </c>
      <c r="BK178" s="112">
        <f>ROUND($L$178*$K$178,3)</f>
        <v>0</v>
      </c>
      <c r="BL178" s="6" t="s">
        <v>134</v>
      </c>
    </row>
    <row r="179" spans="2:51" s="6" customFormat="1" ht="15.75" customHeight="1">
      <c r="B179" s="113"/>
      <c r="E179" s="114"/>
      <c r="F179" s="230" t="s">
        <v>318</v>
      </c>
      <c r="G179" s="231"/>
      <c r="H179" s="231"/>
      <c r="I179" s="231"/>
      <c r="K179" s="115">
        <v>0</v>
      </c>
      <c r="R179" s="116"/>
      <c r="T179" s="117"/>
      <c r="AA179" s="118"/>
      <c r="AC179" s="138"/>
      <c r="AD179" s="138"/>
      <c r="AE179" s="138"/>
      <c r="AF179" s="138"/>
      <c r="AG179" s="138"/>
      <c r="AH179" s="138"/>
      <c r="AI179" s="138"/>
      <c r="AJ179" s="138"/>
      <c r="AT179" s="114" t="s">
        <v>142</v>
      </c>
      <c r="AU179" s="114" t="s">
        <v>82</v>
      </c>
      <c r="AV179" s="114" t="s">
        <v>82</v>
      </c>
      <c r="AW179" s="114" t="s">
        <v>90</v>
      </c>
      <c r="AX179" s="114" t="s">
        <v>72</v>
      </c>
      <c r="AY179" s="114" t="s">
        <v>129</v>
      </c>
    </row>
    <row r="180" spans="2:64" s="6" customFormat="1" ht="27" customHeight="1">
      <c r="B180" s="19"/>
      <c r="C180" s="104">
        <v>36</v>
      </c>
      <c r="D180" s="104" t="s">
        <v>130</v>
      </c>
      <c r="E180" s="105" t="s">
        <v>213</v>
      </c>
      <c r="F180" s="223" t="s">
        <v>214</v>
      </c>
      <c r="G180" s="224"/>
      <c r="H180" s="224"/>
      <c r="I180" s="224"/>
      <c r="J180" s="106" t="s">
        <v>170</v>
      </c>
      <c r="K180" s="107">
        <v>664.31</v>
      </c>
      <c r="L180" s="225"/>
      <c r="M180" s="224"/>
      <c r="N180" s="225">
        <f>K180*L180</f>
        <v>0</v>
      </c>
      <c r="O180" s="224"/>
      <c r="P180" s="224"/>
      <c r="Q180" s="224"/>
      <c r="R180" s="20"/>
      <c r="T180" s="108"/>
      <c r="U180" s="26" t="s">
        <v>37</v>
      </c>
      <c r="V180" s="109">
        <v>0.067</v>
      </c>
      <c r="W180" s="109">
        <f>$V$180*$K$180</f>
        <v>44.50877</v>
      </c>
      <c r="X180" s="109">
        <v>0</v>
      </c>
      <c r="Y180" s="109">
        <f>$X$180*$K$180</f>
        <v>0</v>
      </c>
      <c r="Z180" s="109">
        <v>0</v>
      </c>
      <c r="AA180" s="110">
        <f>$Z$180*$K$180</f>
        <v>0</v>
      </c>
      <c r="AC180" s="138"/>
      <c r="AD180" s="138"/>
      <c r="AE180" s="138"/>
      <c r="AF180" s="138"/>
      <c r="AG180" s="138"/>
      <c r="AH180" s="138"/>
      <c r="AI180" s="138"/>
      <c r="AJ180" s="138"/>
      <c r="AR180" s="6" t="s">
        <v>134</v>
      </c>
      <c r="AT180" s="6" t="s">
        <v>130</v>
      </c>
      <c r="AU180" s="6" t="s">
        <v>82</v>
      </c>
      <c r="AY180" s="6" t="s">
        <v>129</v>
      </c>
      <c r="BE180" s="111">
        <f>IF($U$180="základní",$N$180,0)</f>
        <v>0</v>
      </c>
      <c r="BF180" s="111">
        <f>IF($U$180="snížená",$N$180,0)</f>
        <v>0</v>
      </c>
      <c r="BG180" s="111">
        <f>IF($U$180="zákl. přenesená",$N$180,0)</f>
        <v>0</v>
      </c>
      <c r="BH180" s="111">
        <f>IF($U$180="sníž. přenesená",$N$180,0)</f>
        <v>0</v>
      </c>
      <c r="BI180" s="111">
        <f>IF($U$180="nulová",$N$180,0)</f>
        <v>0</v>
      </c>
      <c r="BJ180" s="6" t="s">
        <v>18</v>
      </c>
      <c r="BK180" s="112">
        <f>ROUND($L$180*$K$180,3)</f>
        <v>0</v>
      </c>
      <c r="BL180" s="6" t="s">
        <v>134</v>
      </c>
    </row>
    <row r="181" spans="2:64" s="6" customFormat="1" ht="27" customHeight="1">
      <c r="B181" s="19"/>
      <c r="C181" s="104">
        <v>37</v>
      </c>
      <c r="D181" s="104" t="s">
        <v>130</v>
      </c>
      <c r="E181" s="105" t="s">
        <v>215</v>
      </c>
      <c r="F181" s="223" t="s">
        <v>216</v>
      </c>
      <c r="G181" s="224"/>
      <c r="H181" s="224"/>
      <c r="I181" s="224"/>
      <c r="J181" s="106" t="s">
        <v>187</v>
      </c>
      <c r="K181" s="107">
        <f>K176*0.44321</f>
        <v>294.42883509999996</v>
      </c>
      <c r="L181" s="225"/>
      <c r="M181" s="224"/>
      <c r="N181" s="225">
        <f>K181*L181</f>
        <v>0</v>
      </c>
      <c r="O181" s="224"/>
      <c r="P181" s="224"/>
      <c r="Q181" s="224"/>
      <c r="R181" s="20"/>
      <c r="T181" s="108"/>
      <c r="U181" s="26" t="s">
        <v>37</v>
      </c>
      <c r="V181" s="109">
        <v>0.39</v>
      </c>
      <c r="W181" s="109">
        <f>$V$181*$K$181</f>
        <v>114.827245689</v>
      </c>
      <c r="X181" s="109">
        <v>0</v>
      </c>
      <c r="Y181" s="109">
        <f>$X$181*$K$181</f>
        <v>0</v>
      </c>
      <c r="Z181" s="109">
        <v>0</v>
      </c>
      <c r="AA181" s="110">
        <f>$Z$181*$K$181</f>
        <v>0</v>
      </c>
      <c r="AC181" s="138"/>
      <c r="AD181" s="138"/>
      <c r="AE181" s="138"/>
      <c r="AF181" s="138"/>
      <c r="AG181" s="138"/>
      <c r="AH181" s="138"/>
      <c r="AI181" s="138"/>
      <c r="AJ181" s="138"/>
      <c r="AR181" s="6" t="s">
        <v>134</v>
      </c>
      <c r="AT181" s="6" t="s">
        <v>130</v>
      </c>
      <c r="AU181" s="6" t="s">
        <v>82</v>
      </c>
      <c r="AY181" s="6" t="s">
        <v>129</v>
      </c>
      <c r="BE181" s="111">
        <f>IF($U$181="základní",$N$181,0)</f>
        <v>0</v>
      </c>
      <c r="BF181" s="111">
        <f>IF($U$181="snížená",$N$181,0)</f>
        <v>0</v>
      </c>
      <c r="BG181" s="111">
        <f>IF($U$181="zákl. přenesená",$N$181,0)</f>
        <v>0</v>
      </c>
      <c r="BH181" s="111">
        <f>IF($U$181="sníž. přenesená",$N$181,0)</f>
        <v>0</v>
      </c>
      <c r="BI181" s="111">
        <f>IF($U$181="nulová",$N$181,0)</f>
        <v>0</v>
      </c>
      <c r="BJ181" s="6" t="s">
        <v>18</v>
      </c>
      <c r="BK181" s="112">
        <f>ROUND($L$181*$K$181,3)</f>
        <v>0</v>
      </c>
      <c r="BL181" s="6" t="s">
        <v>134</v>
      </c>
    </row>
    <row r="182" spans="2:63" s="94" customFormat="1" ht="30.75" customHeight="1">
      <c r="B182" s="95"/>
      <c r="D182" s="103" t="s">
        <v>329</v>
      </c>
      <c r="N182" s="229">
        <f>SUM(N183:Q191)</f>
        <v>0</v>
      </c>
      <c r="O182" s="228"/>
      <c r="P182" s="228"/>
      <c r="Q182" s="228"/>
      <c r="R182" s="98"/>
      <c r="T182" s="99"/>
      <c r="W182" s="100">
        <f>SUM($W$183:$W$191)</f>
        <v>337.94802500000003</v>
      </c>
      <c r="Y182" s="100">
        <f>SUM($Y$183:$Y$191)</f>
        <v>45.95133200000001</v>
      </c>
      <c r="AA182" s="101">
        <f>SUM($AA$183:$AA$191)</f>
        <v>0</v>
      </c>
      <c r="AC182" s="140"/>
      <c r="AD182" s="140"/>
      <c r="AE182" s="140"/>
      <c r="AF182" s="140"/>
      <c r="AG182" s="140"/>
      <c r="AH182" s="140"/>
      <c r="AI182" s="140"/>
      <c r="AJ182" s="140"/>
      <c r="AR182" s="97" t="s">
        <v>18</v>
      </c>
      <c r="AT182" s="97" t="s">
        <v>71</v>
      </c>
      <c r="AU182" s="97" t="s">
        <v>18</v>
      </c>
      <c r="AY182" s="97" t="s">
        <v>129</v>
      </c>
      <c r="BK182" s="102">
        <f>SUM($BK$183:$BK$191)</f>
        <v>0</v>
      </c>
    </row>
    <row r="183" spans="2:64" s="6" customFormat="1" ht="27" customHeight="1">
      <c r="B183" s="19"/>
      <c r="C183" s="104">
        <v>38</v>
      </c>
      <c r="D183" s="104" t="s">
        <v>130</v>
      </c>
      <c r="E183" s="105" t="s">
        <v>218</v>
      </c>
      <c r="F183" s="223" t="s">
        <v>330</v>
      </c>
      <c r="G183" s="224"/>
      <c r="H183" s="224"/>
      <c r="I183" s="224"/>
      <c r="J183" s="106" t="s">
        <v>149</v>
      </c>
      <c r="K183" s="107">
        <v>64.4</v>
      </c>
      <c r="L183" s="225"/>
      <c r="M183" s="224"/>
      <c r="N183" s="225">
        <f>K183*L183</f>
        <v>0</v>
      </c>
      <c r="O183" s="224"/>
      <c r="P183" s="224"/>
      <c r="Q183" s="224"/>
      <c r="R183" s="20"/>
      <c r="T183" s="108"/>
      <c r="U183" s="26" t="s">
        <v>37</v>
      </c>
      <c r="V183" s="109">
        <v>1.441</v>
      </c>
      <c r="W183" s="109">
        <f>$V$183*$K$183</f>
        <v>92.80040000000001</v>
      </c>
      <c r="X183" s="109">
        <v>0.19536</v>
      </c>
      <c r="Y183" s="109">
        <f>$X$183*$K$183</f>
        <v>12.581184000000002</v>
      </c>
      <c r="Z183" s="109">
        <v>0</v>
      </c>
      <c r="AA183" s="110">
        <f>$Z$183*$K$183</f>
        <v>0</v>
      </c>
      <c r="AC183" s="138"/>
      <c r="AD183" s="138"/>
      <c r="AE183" s="138"/>
      <c r="AF183" s="138"/>
      <c r="AG183" s="138"/>
      <c r="AH183" s="138"/>
      <c r="AI183" s="138"/>
      <c r="AJ183" s="138"/>
      <c r="AR183" s="6" t="s">
        <v>134</v>
      </c>
      <c r="AT183" s="6" t="s">
        <v>130</v>
      </c>
      <c r="AU183" s="6" t="s">
        <v>82</v>
      </c>
      <c r="AY183" s="6" t="s">
        <v>129</v>
      </c>
      <c r="BE183" s="111">
        <f>IF($U$183="základní",$N$183,0)</f>
        <v>0</v>
      </c>
      <c r="BF183" s="111">
        <f>IF($U$183="snížená",$N$183,0)</f>
        <v>0</v>
      </c>
      <c r="BG183" s="111">
        <f>IF($U$183="zákl. přenesená",$N$183,0)</f>
        <v>0</v>
      </c>
      <c r="BH183" s="111">
        <f>IF($U$183="sníž. přenesená",$N$183,0)</f>
        <v>0</v>
      </c>
      <c r="BI183" s="111">
        <f>IF($U$183="nulová",$N$183,0)</f>
        <v>0</v>
      </c>
      <c r="BJ183" s="6" t="s">
        <v>18</v>
      </c>
      <c r="BK183" s="112">
        <f>ROUND($L$183*$K$183,3)</f>
        <v>0</v>
      </c>
      <c r="BL183" s="6" t="s">
        <v>134</v>
      </c>
    </row>
    <row r="184" spans="2:64" s="6" customFormat="1" ht="27" customHeight="1">
      <c r="B184" s="19"/>
      <c r="C184" s="125">
        <v>39</v>
      </c>
      <c r="D184" s="125" t="s">
        <v>212</v>
      </c>
      <c r="E184" s="126" t="s">
        <v>219</v>
      </c>
      <c r="F184" s="234" t="s">
        <v>349</v>
      </c>
      <c r="G184" s="235"/>
      <c r="H184" s="235"/>
      <c r="I184" s="235"/>
      <c r="J184" s="127" t="s">
        <v>187</v>
      </c>
      <c r="K184" s="128">
        <v>0</v>
      </c>
      <c r="L184" s="236"/>
      <c r="M184" s="235"/>
      <c r="N184" s="236">
        <f>ROUND($L$184*$K$184,3)</f>
        <v>0</v>
      </c>
      <c r="O184" s="224"/>
      <c r="P184" s="224"/>
      <c r="Q184" s="224"/>
      <c r="R184" s="20"/>
      <c r="T184" s="108"/>
      <c r="U184" s="26" t="s">
        <v>37</v>
      </c>
      <c r="V184" s="109">
        <v>0</v>
      </c>
      <c r="W184" s="109">
        <f>$V$184*$K$184</f>
        <v>0</v>
      </c>
      <c r="X184" s="109">
        <v>1</v>
      </c>
      <c r="Y184" s="109">
        <f>$X$184*$K$184</f>
        <v>0</v>
      </c>
      <c r="Z184" s="109">
        <v>0</v>
      </c>
      <c r="AA184" s="110">
        <f>$Z$184*$K$184</f>
        <v>0</v>
      </c>
      <c r="AC184" s="138"/>
      <c r="AD184" s="138"/>
      <c r="AE184" s="138"/>
      <c r="AF184" s="138"/>
      <c r="AG184" s="138"/>
      <c r="AH184" s="138"/>
      <c r="AI184" s="138"/>
      <c r="AJ184" s="138"/>
      <c r="AR184" s="6" t="s">
        <v>153</v>
      </c>
      <c r="AT184" s="6" t="s">
        <v>212</v>
      </c>
      <c r="AU184" s="6" t="s">
        <v>82</v>
      </c>
      <c r="AY184" s="6" t="s">
        <v>129</v>
      </c>
      <c r="BE184" s="111">
        <f>IF($U$184="základní",$N$184,0)</f>
        <v>0</v>
      </c>
      <c r="BF184" s="111">
        <f>IF($U$184="snížená",$N$184,0)</f>
        <v>0</v>
      </c>
      <c r="BG184" s="111">
        <f>IF($U$184="zákl. přenesená",$N$184,0)</f>
        <v>0</v>
      </c>
      <c r="BH184" s="111">
        <f>IF($U$184="sníž. přenesená",$N$184,0)</f>
        <v>0</v>
      </c>
      <c r="BI184" s="111">
        <f>IF($U$184="nulová",$N$184,0)</f>
        <v>0</v>
      </c>
      <c r="BJ184" s="6" t="s">
        <v>18</v>
      </c>
      <c r="BK184" s="112">
        <f>ROUND($L$184*$K$184,3)</f>
        <v>0</v>
      </c>
      <c r="BL184" s="6" t="s">
        <v>134</v>
      </c>
    </row>
    <row r="185" spans="2:51" s="6" customFormat="1" ht="15.75" customHeight="1">
      <c r="B185" s="113"/>
      <c r="E185" s="114"/>
      <c r="F185" s="230" t="s">
        <v>351</v>
      </c>
      <c r="G185" s="231"/>
      <c r="H185" s="231"/>
      <c r="I185" s="231"/>
      <c r="K185" s="115">
        <v>0</v>
      </c>
      <c r="R185" s="116"/>
      <c r="S185" s="6" t="s">
        <v>350</v>
      </c>
      <c r="T185" s="117"/>
      <c r="AA185" s="118"/>
      <c r="AC185" s="138"/>
      <c r="AD185" s="138"/>
      <c r="AE185" s="138"/>
      <c r="AF185" s="138"/>
      <c r="AG185" s="138"/>
      <c r="AH185" s="138"/>
      <c r="AI185" s="138"/>
      <c r="AJ185" s="138"/>
      <c r="AT185" s="114" t="s">
        <v>142</v>
      </c>
      <c r="AU185" s="114" t="s">
        <v>82</v>
      </c>
      <c r="AV185" s="114" t="s">
        <v>82</v>
      </c>
      <c r="AW185" s="114" t="s">
        <v>90</v>
      </c>
      <c r="AX185" s="114" t="s">
        <v>18</v>
      </c>
      <c r="AY185" s="114" t="s">
        <v>129</v>
      </c>
    </row>
    <row r="186" spans="2:64" s="6" customFormat="1" ht="15.75" customHeight="1">
      <c r="B186" s="19"/>
      <c r="C186" s="104">
        <v>40</v>
      </c>
      <c r="D186" s="104" t="s">
        <v>130</v>
      </c>
      <c r="E186" s="105" t="s">
        <v>192</v>
      </c>
      <c r="F186" s="223" t="s">
        <v>331</v>
      </c>
      <c r="G186" s="224"/>
      <c r="H186" s="224"/>
      <c r="I186" s="224"/>
      <c r="J186" s="106" t="s">
        <v>187</v>
      </c>
      <c r="K186" s="107">
        <f>K183/3</f>
        <v>21.46666666666667</v>
      </c>
      <c r="L186" s="225"/>
      <c r="M186" s="224"/>
      <c r="N186" s="225">
        <f>K186*L186</f>
        <v>0</v>
      </c>
      <c r="O186" s="224"/>
      <c r="P186" s="224"/>
      <c r="Q186" s="224"/>
      <c r="R186" s="20"/>
      <c r="T186" s="108"/>
      <c r="U186" s="26" t="s">
        <v>37</v>
      </c>
      <c r="V186" s="109">
        <v>0.136</v>
      </c>
      <c r="W186" s="109">
        <f>$V$156*$K$156</f>
        <v>103.09956000000001</v>
      </c>
      <c r="X186" s="109">
        <v>0</v>
      </c>
      <c r="Y186" s="109">
        <f>$X$156*$K$156</f>
        <v>0</v>
      </c>
      <c r="Z186" s="109">
        <v>0</v>
      </c>
      <c r="AA186" s="110">
        <f>$Z$156*$K$156</f>
        <v>0</v>
      </c>
      <c r="AC186" s="142"/>
      <c r="AD186" s="138"/>
      <c r="AE186" s="144"/>
      <c r="AF186" s="138"/>
      <c r="AG186" s="138"/>
      <c r="AH186" s="138"/>
      <c r="AI186" s="138"/>
      <c r="AJ186" s="138"/>
      <c r="AR186" s="6" t="s">
        <v>134</v>
      </c>
      <c r="AT186" s="6" t="s">
        <v>130</v>
      </c>
      <c r="AU186" s="6" t="s">
        <v>82</v>
      </c>
      <c r="AY186" s="6" t="s">
        <v>129</v>
      </c>
      <c r="BE186" s="111">
        <f>IF($U$156="základní",$N$156,0)</f>
        <v>0</v>
      </c>
      <c r="BF186" s="111">
        <f>IF($U$156="snížená",$N$156,0)</f>
        <v>0</v>
      </c>
      <c r="BG186" s="111">
        <f>IF($U$156="zákl. přenesená",$N$156,0)</f>
        <v>0</v>
      </c>
      <c r="BH186" s="111">
        <f>IF($U$156="sníž. přenesená",$N$156,0)</f>
        <v>0</v>
      </c>
      <c r="BI186" s="111">
        <f>IF($U$156="nulová",$N$156,0)</f>
        <v>0</v>
      </c>
      <c r="BJ186" s="6" t="s">
        <v>18</v>
      </c>
      <c r="BK186" s="112">
        <f>ROUND($L$156*$K$156,3)</f>
        <v>0</v>
      </c>
      <c r="BL186" s="6" t="s">
        <v>134</v>
      </c>
    </row>
    <row r="187" spans="2:64" s="6" customFormat="1" ht="27" customHeight="1">
      <c r="B187" s="19"/>
      <c r="C187" s="104">
        <v>41</v>
      </c>
      <c r="D187" s="104" t="s">
        <v>130</v>
      </c>
      <c r="E187" s="105" t="s">
        <v>185</v>
      </c>
      <c r="F187" s="223" t="s">
        <v>328</v>
      </c>
      <c r="G187" s="224"/>
      <c r="H187" s="224"/>
      <c r="I187" s="224"/>
      <c r="J187" s="106" t="s">
        <v>187</v>
      </c>
      <c r="K187" s="107">
        <f>K186</f>
        <v>21.46666666666667</v>
      </c>
      <c r="L187" s="225"/>
      <c r="M187" s="224"/>
      <c r="N187" s="225">
        <f>K187*L187</f>
        <v>0</v>
      </c>
      <c r="O187" s="224"/>
      <c r="P187" s="224"/>
      <c r="Q187" s="224"/>
      <c r="R187" s="20"/>
      <c r="T187" s="108"/>
      <c r="U187" s="26" t="s">
        <v>37</v>
      </c>
      <c r="V187" s="109">
        <v>0.125</v>
      </c>
      <c r="W187" s="109">
        <f>$V$154*$K$154</f>
        <v>94.760625</v>
      </c>
      <c r="X187" s="109">
        <v>0</v>
      </c>
      <c r="Y187" s="109">
        <f>$X$154*$K$154</f>
        <v>0</v>
      </c>
      <c r="Z187" s="109">
        <v>0</v>
      </c>
      <c r="AA187" s="110">
        <f>$Z$154*$K$154</f>
        <v>0</v>
      </c>
      <c r="AC187" s="143"/>
      <c r="AD187" s="138"/>
      <c r="AE187" s="138"/>
      <c r="AF187" s="138"/>
      <c r="AG187" s="138"/>
      <c r="AH187" s="138"/>
      <c r="AI187" s="138"/>
      <c r="AJ187" s="138"/>
      <c r="AR187" s="6" t="s">
        <v>134</v>
      </c>
      <c r="AT187" s="6" t="s">
        <v>130</v>
      </c>
      <c r="AU187" s="6" t="s">
        <v>82</v>
      </c>
      <c r="AY187" s="6" t="s">
        <v>129</v>
      </c>
      <c r="BE187" s="111">
        <f>IF($U$154="základní",$N$154,0)</f>
        <v>0</v>
      </c>
      <c r="BF187" s="111">
        <f>IF($U$154="snížená",$N$154,0)</f>
        <v>0</v>
      </c>
      <c r="BG187" s="111">
        <f>IF($U$154="zákl. přenesená",$N$154,0)</f>
        <v>0</v>
      </c>
      <c r="BH187" s="111">
        <f>IF($U$154="sníž. přenesená",$N$154,0)</f>
        <v>0</v>
      </c>
      <c r="BI187" s="111">
        <f>IF($U$154="nulová",$N$154,0)</f>
        <v>0</v>
      </c>
      <c r="BJ187" s="6" t="s">
        <v>18</v>
      </c>
      <c r="BK187" s="112">
        <f>ROUND($L$154*$K$154,3)</f>
        <v>0</v>
      </c>
      <c r="BL187" s="6" t="s">
        <v>134</v>
      </c>
    </row>
    <row r="188" spans="2:64" s="6" customFormat="1" ht="27" customHeight="1">
      <c r="B188" s="19"/>
      <c r="C188" s="104">
        <v>42</v>
      </c>
      <c r="D188" s="104" t="s">
        <v>130</v>
      </c>
      <c r="E188" s="105" t="s">
        <v>220</v>
      </c>
      <c r="F188" s="223" t="s">
        <v>221</v>
      </c>
      <c r="G188" s="224"/>
      <c r="H188" s="224"/>
      <c r="I188" s="224"/>
      <c r="J188" s="106" t="s">
        <v>149</v>
      </c>
      <c r="K188" s="107">
        <v>64.4</v>
      </c>
      <c r="L188" s="225"/>
      <c r="M188" s="224"/>
      <c r="N188" s="225">
        <f>K188*L188</f>
        <v>0</v>
      </c>
      <c r="O188" s="224"/>
      <c r="P188" s="224"/>
      <c r="Q188" s="224"/>
      <c r="R188" s="20"/>
      <c r="T188" s="108"/>
      <c r="U188" s="26" t="s">
        <v>37</v>
      </c>
      <c r="V188" s="109">
        <v>0.046</v>
      </c>
      <c r="W188" s="109">
        <f>$V$188*$K$188</f>
        <v>2.9624</v>
      </c>
      <c r="X188" s="109">
        <v>0.51817</v>
      </c>
      <c r="Y188" s="109">
        <f>$X$188*$K$188</f>
        <v>33.37014800000001</v>
      </c>
      <c r="Z188" s="109">
        <v>0</v>
      </c>
      <c r="AA188" s="110">
        <f>$Z$188*$K$188</f>
        <v>0</v>
      </c>
      <c r="AC188" s="138"/>
      <c r="AD188" s="138"/>
      <c r="AE188" s="138"/>
      <c r="AF188" s="138"/>
      <c r="AG188" s="138"/>
      <c r="AH188" s="138"/>
      <c r="AI188" s="138"/>
      <c r="AJ188" s="138"/>
      <c r="AR188" s="6" t="s">
        <v>134</v>
      </c>
      <c r="AT188" s="6" t="s">
        <v>130</v>
      </c>
      <c r="AU188" s="6" t="s">
        <v>82</v>
      </c>
      <c r="AY188" s="6" t="s">
        <v>129</v>
      </c>
      <c r="BE188" s="111">
        <f>IF($U$188="základní",$N$188,0)</f>
        <v>0</v>
      </c>
      <c r="BF188" s="111">
        <f>IF($U$188="snížená",$N$188,0)</f>
        <v>0</v>
      </c>
      <c r="BG188" s="111">
        <f>IF($U$188="zákl. přenesená",$N$188,0)</f>
        <v>0</v>
      </c>
      <c r="BH188" s="111">
        <f>IF($U$188="sníž. přenesená",$N$188,0)</f>
        <v>0</v>
      </c>
      <c r="BI188" s="111">
        <f>IF($U$188="nulová",$N$188,0)</f>
        <v>0</v>
      </c>
      <c r="BJ188" s="6" t="s">
        <v>18</v>
      </c>
      <c r="BK188" s="112">
        <f>ROUND($L$188*$K$188,3)</f>
        <v>0</v>
      </c>
      <c r="BL188" s="6" t="s">
        <v>134</v>
      </c>
    </row>
    <row r="189" spans="2:64" s="6" customFormat="1" ht="27" customHeight="1">
      <c r="B189" s="19"/>
      <c r="C189" s="104">
        <v>43</v>
      </c>
      <c r="D189" s="104" t="s">
        <v>130</v>
      </c>
      <c r="E189" s="105" t="s">
        <v>213</v>
      </c>
      <c r="F189" s="223" t="s">
        <v>214</v>
      </c>
      <c r="G189" s="224"/>
      <c r="H189" s="224"/>
      <c r="I189" s="224"/>
      <c r="J189" s="106" t="s">
        <v>170</v>
      </c>
      <c r="K189" s="107">
        <v>322</v>
      </c>
      <c r="L189" s="225"/>
      <c r="M189" s="224"/>
      <c r="N189" s="225">
        <f>K189*L189</f>
        <v>0</v>
      </c>
      <c r="O189" s="224"/>
      <c r="P189" s="224"/>
      <c r="Q189" s="224"/>
      <c r="R189" s="20"/>
      <c r="T189" s="108"/>
      <c r="U189" s="26" t="s">
        <v>37</v>
      </c>
      <c r="V189" s="109">
        <v>0.067</v>
      </c>
      <c r="W189" s="109">
        <f>$V$189*$K$189</f>
        <v>21.574</v>
      </c>
      <c r="X189" s="109">
        <v>0</v>
      </c>
      <c r="Y189" s="109">
        <f>$X$189*$K$189</f>
        <v>0</v>
      </c>
      <c r="Z189" s="109">
        <v>0</v>
      </c>
      <c r="AA189" s="110">
        <f>$Z$189*$K$189</f>
        <v>0</v>
      </c>
      <c r="AC189" s="138"/>
      <c r="AD189" s="138"/>
      <c r="AE189" s="138"/>
      <c r="AF189" s="138"/>
      <c r="AG189" s="138"/>
      <c r="AH189" s="138"/>
      <c r="AI189" s="138"/>
      <c r="AJ189" s="138"/>
      <c r="AR189" s="6" t="s">
        <v>134</v>
      </c>
      <c r="AT189" s="6" t="s">
        <v>130</v>
      </c>
      <c r="AU189" s="6" t="s">
        <v>82</v>
      </c>
      <c r="AY189" s="6" t="s">
        <v>129</v>
      </c>
      <c r="BE189" s="111">
        <f>IF($U$189="základní",$N$189,0)</f>
        <v>0</v>
      </c>
      <c r="BF189" s="111">
        <f>IF($U$189="snížená",$N$189,0)</f>
        <v>0</v>
      </c>
      <c r="BG189" s="111">
        <f>IF($U$189="zákl. přenesená",$N$189,0)</f>
        <v>0</v>
      </c>
      <c r="BH189" s="111">
        <f>IF($U$189="sníž. přenesená",$N$189,0)</f>
        <v>0</v>
      </c>
      <c r="BI189" s="111">
        <f>IF($U$189="nulová",$N$189,0)</f>
        <v>0</v>
      </c>
      <c r="BJ189" s="6" t="s">
        <v>18</v>
      </c>
      <c r="BK189" s="112">
        <f>ROUND($L$189*$K$189,3)</f>
        <v>0</v>
      </c>
      <c r="BL189" s="6" t="s">
        <v>134</v>
      </c>
    </row>
    <row r="190" spans="2:51" s="6" customFormat="1" ht="15.75" customHeight="1">
      <c r="B190" s="113"/>
      <c r="E190" s="114"/>
      <c r="F190" s="230" t="s">
        <v>222</v>
      </c>
      <c r="G190" s="231"/>
      <c r="H190" s="231"/>
      <c r="I190" s="231"/>
      <c r="K190" s="115">
        <v>322</v>
      </c>
      <c r="R190" s="116"/>
      <c r="T190" s="117"/>
      <c r="AA190" s="118"/>
      <c r="AC190" s="138"/>
      <c r="AD190" s="138"/>
      <c r="AE190" s="138"/>
      <c r="AF190" s="138"/>
      <c r="AG190" s="138"/>
      <c r="AH190" s="138"/>
      <c r="AI190" s="138"/>
      <c r="AJ190" s="138"/>
      <c r="AT190" s="114" t="s">
        <v>142</v>
      </c>
      <c r="AU190" s="114" t="s">
        <v>82</v>
      </c>
      <c r="AV190" s="114" t="s">
        <v>82</v>
      </c>
      <c r="AW190" s="114" t="s">
        <v>90</v>
      </c>
      <c r="AX190" s="114" t="s">
        <v>18</v>
      </c>
      <c r="AY190" s="114" t="s">
        <v>129</v>
      </c>
    </row>
    <row r="191" spans="2:64" s="6" customFormat="1" ht="27" customHeight="1">
      <c r="B191" s="19"/>
      <c r="C191" s="104">
        <v>44</v>
      </c>
      <c r="D191" s="104" t="s">
        <v>130</v>
      </c>
      <c r="E191" s="105" t="s">
        <v>215</v>
      </c>
      <c r="F191" s="223" t="s">
        <v>216</v>
      </c>
      <c r="G191" s="224"/>
      <c r="H191" s="224"/>
      <c r="I191" s="224"/>
      <c r="J191" s="106" t="s">
        <v>187</v>
      </c>
      <c r="K191" s="107">
        <v>58.336</v>
      </c>
      <c r="L191" s="225"/>
      <c r="M191" s="224"/>
      <c r="N191" s="225">
        <f>K191*L191</f>
        <v>0</v>
      </c>
      <c r="O191" s="224"/>
      <c r="P191" s="224"/>
      <c r="Q191" s="224"/>
      <c r="R191" s="20"/>
      <c r="T191" s="108"/>
      <c r="U191" s="26" t="s">
        <v>37</v>
      </c>
      <c r="V191" s="109">
        <v>0.39</v>
      </c>
      <c r="W191" s="109">
        <f>$V$191*$K$191</f>
        <v>22.75104</v>
      </c>
      <c r="X191" s="109">
        <v>0</v>
      </c>
      <c r="Y191" s="109">
        <f>$X$191*$K$191</f>
        <v>0</v>
      </c>
      <c r="Z191" s="109">
        <v>0</v>
      </c>
      <c r="AA191" s="110">
        <f>$Z$191*$K$191</f>
        <v>0</v>
      </c>
      <c r="AC191" s="138"/>
      <c r="AD191" s="138"/>
      <c r="AE191" s="138"/>
      <c r="AF191" s="138"/>
      <c r="AG191" s="138"/>
      <c r="AH191" s="138"/>
      <c r="AI191" s="138"/>
      <c r="AJ191" s="138"/>
      <c r="AR191" s="6" t="s">
        <v>134</v>
      </c>
      <c r="AT191" s="6" t="s">
        <v>130</v>
      </c>
      <c r="AU191" s="6" t="s">
        <v>82</v>
      </c>
      <c r="AY191" s="6" t="s">
        <v>129</v>
      </c>
      <c r="BE191" s="111">
        <f>IF($U$191="základní",$N$191,0)</f>
        <v>0</v>
      </c>
      <c r="BF191" s="111">
        <f>IF($U$191="snížená",$N$191,0)</f>
        <v>0</v>
      </c>
      <c r="BG191" s="111">
        <f>IF($U$191="zákl. přenesená",$N$191,0)</f>
        <v>0</v>
      </c>
      <c r="BH191" s="111">
        <f>IF($U$191="sníž. přenesená",$N$191,0)</f>
        <v>0</v>
      </c>
      <c r="BI191" s="111">
        <f>IF($U$191="nulová",$N$191,0)</f>
        <v>0</v>
      </c>
      <c r="BJ191" s="6" t="s">
        <v>18</v>
      </c>
      <c r="BK191" s="112">
        <f>ROUND($L$191*$K$191,3)</f>
        <v>0</v>
      </c>
      <c r="BL191" s="6" t="s">
        <v>134</v>
      </c>
    </row>
    <row r="192" spans="2:63" s="94" customFormat="1" ht="30.75" customHeight="1">
      <c r="B192" s="95"/>
      <c r="D192" s="103" t="s">
        <v>98</v>
      </c>
      <c r="N192" s="229">
        <f>SUM(N193:Q196)</f>
        <v>0</v>
      </c>
      <c r="O192" s="228"/>
      <c r="P192" s="228"/>
      <c r="Q192" s="228"/>
      <c r="R192" s="98"/>
      <c r="T192" s="99"/>
      <c r="W192" s="100">
        <f>SUM($W$193:$W$196)</f>
        <v>34.276056000000004</v>
      </c>
      <c r="Y192" s="100">
        <f>SUM($Y$193:$Y$196)</f>
        <v>0.015995000000000002</v>
      </c>
      <c r="AA192" s="101">
        <f>SUM($AA$193:$AA$196)</f>
        <v>0</v>
      </c>
      <c r="AC192" s="140"/>
      <c r="AD192" s="140"/>
      <c r="AE192" s="140"/>
      <c r="AF192" s="140"/>
      <c r="AG192" s="140"/>
      <c r="AH192" s="140"/>
      <c r="AI192" s="140"/>
      <c r="AJ192" s="140"/>
      <c r="AR192" s="97" t="s">
        <v>18</v>
      </c>
      <c r="AT192" s="97" t="s">
        <v>71</v>
      </c>
      <c r="AU192" s="97" t="s">
        <v>18</v>
      </c>
      <c r="AY192" s="97" t="s">
        <v>129</v>
      </c>
      <c r="BK192" s="102">
        <f>SUM($BK$193:$BK$196)</f>
        <v>0</v>
      </c>
    </row>
    <row r="193" spans="2:64" s="6" customFormat="1" ht="27" customHeight="1">
      <c r="B193" s="19"/>
      <c r="C193" s="104">
        <v>45</v>
      </c>
      <c r="D193" s="104" t="s">
        <v>130</v>
      </c>
      <c r="E193" s="105" t="s">
        <v>223</v>
      </c>
      <c r="F193" s="223" t="s">
        <v>224</v>
      </c>
      <c r="G193" s="224"/>
      <c r="H193" s="224"/>
      <c r="I193" s="224"/>
      <c r="J193" s="106" t="s">
        <v>170</v>
      </c>
      <c r="K193" s="107">
        <v>45.7</v>
      </c>
      <c r="L193" s="225"/>
      <c r="M193" s="224"/>
      <c r="N193" s="225">
        <f>K193*L193</f>
        <v>0</v>
      </c>
      <c r="O193" s="224"/>
      <c r="P193" s="224"/>
      <c r="Q193" s="224"/>
      <c r="R193" s="20"/>
      <c r="T193" s="108"/>
      <c r="U193" s="26" t="s">
        <v>37</v>
      </c>
      <c r="V193" s="109">
        <v>0.4</v>
      </c>
      <c r="W193" s="109">
        <f>$V$193*$K$193</f>
        <v>18.28</v>
      </c>
      <c r="X193" s="109">
        <v>1E-05</v>
      </c>
      <c r="Y193" s="109">
        <f>$X$193*$K$193</f>
        <v>0.00045700000000000005</v>
      </c>
      <c r="Z193" s="109">
        <v>0</v>
      </c>
      <c r="AA193" s="110">
        <f>$Z$193*$K$193</f>
        <v>0</v>
      </c>
      <c r="AC193" s="138"/>
      <c r="AD193" s="138"/>
      <c r="AE193" s="138"/>
      <c r="AF193" s="138"/>
      <c r="AG193" s="138"/>
      <c r="AH193" s="138"/>
      <c r="AI193" s="138"/>
      <c r="AJ193" s="138"/>
      <c r="AR193" s="6" t="s">
        <v>134</v>
      </c>
      <c r="AT193" s="6" t="s">
        <v>130</v>
      </c>
      <c r="AU193" s="6" t="s">
        <v>82</v>
      </c>
      <c r="AY193" s="6" t="s">
        <v>129</v>
      </c>
      <c r="BE193" s="111">
        <f>IF($U$193="základní",$N$193,0)</f>
        <v>0</v>
      </c>
      <c r="BF193" s="111">
        <f>IF($U$193="snížená",$N$193,0)</f>
        <v>0</v>
      </c>
      <c r="BG193" s="111">
        <f>IF($U$193="zákl. přenesená",$N$193,0)</f>
        <v>0</v>
      </c>
      <c r="BH193" s="111">
        <f>IF($U$193="sníž. přenesená",$N$193,0)</f>
        <v>0</v>
      </c>
      <c r="BI193" s="111">
        <f>IF($U$193="nulová",$N$193,0)</f>
        <v>0</v>
      </c>
      <c r="BJ193" s="6" t="s">
        <v>18</v>
      </c>
      <c r="BK193" s="112">
        <f>ROUND($L$193*$K$193,3)</f>
        <v>0</v>
      </c>
      <c r="BL193" s="6" t="s">
        <v>134</v>
      </c>
    </row>
    <row r="194" spans="2:64" s="6" customFormat="1" ht="27" customHeight="1">
      <c r="B194" s="19"/>
      <c r="C194" s="104">
        <v>46</v>
      </c>
      <c r="D194" s="104" t="s">
        <v>130</v>
      </c>
      <c r="E194" s="105" t="s">
        <v>225</v>
      </c>
      <c r="F194" s="223" t="s">
        <v>226</v>
      </c>
      <c r="G194" s="224"/>
      <c r="H194" s="224"/>
      <c r="I194" s="224"/>
      <c r="J194" s="106" t="s">
        <v>170</v>
      </c>
      <c r="K194" s="107">
        <v>45.7</v>
      </c>
      <c r="L194" s="225"/>
      <c r="M194" s="224"/>
      <c r="N194" s="225">
        <f>K194*L194</f>
        <v>0</v>
      </c>
      <c r="O194" s="224"/>
      <c r="P194" s="224"/>
      <c r="Q194" s="224"/>
      <c r="R194" s="20"/>
      <c r="T194" s="108"/>
      <c r="U194" s="26" t="s">
        <v>37</v>
      </c>
      <c r="V194" s="109">
        <v>0.257</v>
      </c>
      <c r="W194" s="109">
        <f>$V$194*$K$194</f>
        <v>11.744900000000001</v>
      </c>
      <c r="X194" s="109">
        <v>0.00034</v>
      </c>
      <c r="Y194" s="109">
        <f>$X$194*$K$194</f>
        <v>0.015538000000000001</v>
      </c>
      <c r="Z194" s="109">
        <v>0</v>
      </c>
      <c r="AA194" s="110">
        <f>$Z$194*$K$194</f>
        <v>0</v>
      </c>
      <c r="AC194" s="138"/>
      <c r="AD194" s="138"/>
      <c r="AE194" s="138"/>
      <c r="AF194" s="138"/>
      <c r="AG194" s="138"/>
      <c r="AH194" s="138"/>
      <c r="AI194" s="138"/>
      <c r="AJ194" s="138"/>
      <c r="AR194" s="6" t="s">
        <v>134</v>
      </c>
      <c r="AT194" s="6" t="s">
        <v>130</v>
      </c>
      <c r="AU194" s="6" t="s">
        <v>82</v>
      </c>
      <c r="AY194" s="6" t="s">
        <v>129</v>
      </c>
      <c r="BE194" s="111">
        <f>IF($U$194="základní",$N$194,0)</f>
        <v>0</v>
      </c>
      <c r="BF194" s="111">
        <f>IF($U$194="snížená",$N$194,0)</f>
        <v>0</v>
      </c>
      <c r="BG194" s="111">
        <f>IF($U$194="zákl. přenesená",$N$194,0)</f>
        <v>0</v>
      </c>
      <c r="BH194" s="111">
        <f>IF($U$194="sníž. přenesená",$N$194,0)</f>
        <v>0</v>
      </c>
      <c r="BI194" s="111">
        <f>IF($U$194="nulová",$N$194,0)</f>
        <v>0</v>
      </c>
      <c r="BJ194" s="6" t="s">
        <v>18</v>
      </c>
      <c r="BK194" s="112">
        <f>ROUND($L$194*$K$194,3)</f>
        <v>0</v>
      </c>
      <c r="BL194" s="6" t="s">
        <v>134</v>
      </c>
    </row>
    <row r="195" spans="2:64" s="6" customFormat="1" ht="27" customHeight="1">
      <c r="B195" s="19"/>
      <c r="C195" s="104">
        <v>47</v>
      </c>
      <c r="D195" s="104" t="s">
        <v>130</v>
      </c>
      <c r="E195" s="105" t="s">
        <v>227</v>
      </c>
      <c r="F195" s="223" t="s">
        <v>228</v>
      </c>
      <c r="G195" s="224"/>
      <c r="H195" s="224"/>
      <c r="I195" s="224"/>
      <c r="J195" s="106" t="s">
        <v>170</v>
      </c>
      <c r="K195" s="107">
        <v>45.7</v>
      </c>
      <c r="L195" s="225"/>
      <c r="M195" s="224"/>
      <c r="N195" s="225">
        <f>K195*L195</f>
        <v>0</v>
      </c>
      <c r="O195" s="224"/>
      <c r="P195" s="224"/>
      <c r="Q195" s="224"/>
      <c r="R195" s="20"/>
      <c r="T195" s="108"/>
      <c r="U195" s="26" t="s">
        <v>37</v>
      </c>
      <c r="V195" s="109">
        <v>0.093</v>
      </c>
      <c r="W195" s="109">
        <f>$V$195*$K$195</f>
        <v>4.250100000000001</v>
      </c>
      <c r="X195" s="109">
        <v>0</v>
      </c>
      <c r="Y195" s="109">
        <f>$X$195*$K$195</f>
        <v>0</v>
      </c>
      <c r="Z195" s="109">
        <v>0</v>
      </c>
      <c r="AA195" s="110">
        <f>$Z$195*$K$195</f>
        <v>0</v>
      </c>
      <c r="AC195" s="138"/>
      <c r="AD195" s="138"/>
      <c r="AE195" s="138"/>
      <c r="AF195" s="138"/>
      <c r="AG195" s="138"/>
      <c r="AH195" s="138"/>
      <c r="AI195" s="138"/>
      <c r="AJ195" s="138"/>
      <c r="AR195" s="6" t="s">
        <v>134</v>
      </c>
      <c r="AT195" s="6" t="s">
        <v>130</v>
      </c>
      <c r="AU195" s="6" t="s">
        <v>82</v>
      </c>
      <c r="AY195" s="6" t="s">
        <v>129</v>
      </c>
      <c r="BE195" s="111">
        <f>IF($U$195="základní",$N$195,0)</f>
        <v>0</v>
      </c>
      <c r="BF195" s="111">
        <f>IF($U$195="snížená",$N$195,0)</f>
        <v>0</v>
      </c>
      <c r="BG195" s="111">
        <f>IF($U$195="zákl. přenesená",$N$195,0)</f>
        <v>0</v>
      </c>
      <c r="BH195" s="111">
        <f>IF($U$195="sníž. přenesená",$N$195,0)</f>
        <v>0</v>
      </c>
      <c r="BI195" s="111">
        <f>IF($U$195="nulová",$N$195,0)</f>
        <v>0</v>
      </c>
      <c r="BJ195" s="6" t="s">
        <v>18</v>
      </c>
      <c r="BK195" s="112">
        <f>ROUND($L$195*$K$195,3)</f>
        <v>0</v>
      </c>
      <c r="BL195" s="6" t="s">
        <v>134</v>
      </c>
    </row>
    <row r="196" spans="2:64" s="6" customFormat="1" ht="39" customHeight="1">
      <c r="B196" s="19"/>
      <c r="C196" s="104">
        <v>48</v>
      </c>
      <c r="D196" s="104" t="s">
        <v>130</v>
      </c>
      <c r="E196" s="105" t="s">
        <v>229</v>
      </c>
      <c r="F196" s="223" t="s">
        <v>230</v>
      </c>
      <c r="G196" s="224"/>
      <c r="H196" s="224"/>
      <c r="I196" s="224"/>
      <c r="J196" s="106" t="s">
        <v>187</v>
      </c>
      <c r="K196" s="107">
        <v>0.016</v>
      </c>
      <c r="L196" s="225"/>
      <c r="M196" s="224"/>
      <c r="N196" s="225">
        <f>K196*L196</f>
        <v>0</v>
      </c>
      <c r="O196" s="224"/>
      <c r="P196" s="224"/>
      <c r="Q196" s="224"/>
      <c r="R196" s="20"/>
      <c r="T196" s="108"/>
      <c r="U196" s="26" t="s">
        <v>37</v>
      </c>
      <c r="V196" s="109">
        <v>0.066</v>
      </c>
      <c r="W196" s="109">
        <f>$V$196*$K$196</f>
        <v>0.001056</v>
      </c>
      <c r="X196" s="109">
        <v>0</v>
      </c>
      <c r="Y196" s="109">
        <f>$X$196*$K$196</f>
        <v>0</v>
      </c>
      <c r="Z196" s="109">
        <v>0</v>
      </c>
      <c r="AA196" s="110">
        <f>$Z$196*$K$196</f>
        <v>0</v>
      </c>
      <c r="AC196" s="138"/>
      <c r="AD196" s="138"/>
      <c r="AE196" s="138"/>
      <c r="AF196" s="138"/>
      <c r="AG196" s="138"/>
      <c r="AH196" s="138"/>
      <c r="AI196" s="138"/>
      <c r="AJ196" s="138"/>
      <c r="AR196" s="6" t="s">
        <v>134</v>
      </c>
      <c r="AT196" s="6" t="s">
        <v>130</v>
      </c>
      <c r="AU196" s="6" t="s">
        <v>82</v>
      </c>
      <c r="AY196" s="6" t="s">
        <v>129</v>
      </c>
      <c r="BE196" s="111">
        <f>IF($U$196="základní",$N$196,0)</f>
        <v>0</v>
      </c>
      <c r="BF196" s="111">
        <f>IF($U$196="snížená",$N$196,0)</f>
        <v>0</v>
      </c>
      <c r="BG196" s="111">
        <f>IF($U$196="zákl. přenesená",$N$196,0)</f>
        <v>0</v>
      </c>
      <c r="BH196" s="111">
        <f>IF($U$196="sníž. přenesená",$N$196,0)</f>
        <v>0</v>
      </c>
      <c r="BI196" s="111">
        <f>IF($U$196="nulová",$N$196,0)</f>
        <v>0</v>
      </c>
      <c r="BJ196" s="6" t="s">
        <v>18</v>
      </c>
      <c r="BK196" s="112">
        <f>ROUND($L$196*$K$196,3)</f>
        <v>0</v>
      </c>
      <c r="BL196" s="6" t="s">
        <v>134</v>
      </c>
    </row>
    <row r="197" spans="2:63" s="94" customFormat="1" ht="30.75" customHeight="1">
      <c r="B197" s="95"/>
      <c r="D197" s="103" t="s">
        <v>99</v>
      </c>
      <c r="N197" s="229">
        <f>SUM(N198:Q201)</f>
        <v>0</v>
      </c>
      <c r="O197" s="228"/>
      <c r="P197" s="228"/>
      <c r="Q197" s="228"/>
      <c r="R197" s="98"/>
      <c r="T197" s="99"/>
      <c r="W197" s="100">
        <f>SUM($W$198:$W$201)</f>
        <v>39.18876</v>
      </c>
      <c r="Y197" s="100">
        <f>SUM($Y$198:$Y$201)</f>
        <v>22.292327600000004</v>
      </c>
      <c r="AA197" s="101">
        <f>SUM($AA$198:$AA$201)</f>
        <v>0</v>
      </c>
      <c r="AC197" s="140"/>
      <c r="AD197" s="140"/>
      <c r="AE197" s="140"/>
      <c r="AF197" s="140"/>
      <c r="AG197" s="140"/>
      <c r="AH197" s="140"/>
      <c r="AI197" s="140"/>
      <c r="AJ197" s="140"/>
      <c r="AR197" s="97" t="s">
        <v>18</v>
      </c>
      <c r="AT197" s="97" t="s">
        <v>71</v>
      </c>
      <c r="AU197" s="97" t="s">
        <v>18</v>
      </c>
      <c r="AY197" s="97" t="s">
        <v>129</v>
      </c>
      <c r="BK197" s="102">
        <f>SUM($BK$198:$BK$201)</f>
        <v>0</v>
      </c>
    </row>
    <row r="198" spans="2:64" s="6" customFormat="1" ht="39" customHeight="1">
      <c r="B198" s="19"/>
      <c r="C198" s="104">
        <v>49</v>
      </c>
      <c r="D198" s="104" t="s">
        <v>130</v>
      </c>
      <c r="E198" s="105" t="s">
        <v>231</v>
      </c>
      <c r="F198" s="223" t="s">
        <v>232</v>
      </c>
      <c r="G198" s="224"/>
      <c r="H198" s="224"/>
      <c r="I198" s="224"/>
      <c r="J198" s="106" t="s">
        <v>170</v>
      </c>
      <c r="K198" s="107">
        <v>141.18</v>
      </c>
      <c r="L198" s="225"/>
      <c r="M198" s="224"/>
      <c r="N198" s="225">
        <f>K198*L198</f>
        <v>0</v>
      </c>
      <c r="O198" s="224"/>
      <c r="P198" s="224"/>
      <c r="Q198" s="224"/>
      <c r="R198" s="20"/>
      <c r="T198" s="108"/>
      <c r="U198" s="26" t="s">
        <v>37</v>
      </c>
      <c r="V198" s="109">
        <v>0.216</v>
      </c>
      <c r="W198" s="109">
        <f>$V$198*$K$198</f>
        <v>30.494880000000002</v>
      </c>
      <c r="X198" s="109">
        <v>0.12962</v>
      </c>
      <c r="Y198" s="109">
        <f>$X$198*$K$198</f>
        <v>18.299751600000004</v>
      </c>
      <c r="Z198" s="109">
        <v>0</v>
      </c>
      <c r="AA198" s="110">
        <f>$Z$198*$K$198</f>
        <v>0</v>
      </c>
      <c r="AC198" s="138"/>
      <c r="AD198" s="138"/>
      <c r="AE198" s="138"/>
      <c r="AF198" s="138"/>
      <c r="AG198" s="138"/>
      <c r="AH198" s="138"/>
      <c r="AI198" s="138"/>
      <c r="AJ198" s="138"/>
      <c r="AR198" s="6" t="s">
        <v>134</v>
      </c>
      <c r="AT198" s="6" t="s">
        <v>130</v>
      </c>
      <c r="AU198" s="6" t="s">
        <v>82</v>
      </c>
      <c r="AY198" s="6" t="s">
        <v>129</v>
      </c>
      <c r="BE198" s="111">
        <f>IF($U$198="základní",$N$198,0)</f>
        <v>0</v>
      </c>
      <c r="BF198" s="111">
        <f>IF($U$198="snížená",$N$198,0)</f>
        <v>0</v>
      </c>
      <c r="BG198" s="111">
        <f>IF($U$198="zákl. přenesená",$N$198,0)</f>
        <v>0</v>
      </c>
      <c r="BH198" s="111">
        <f>IF($U$198="sníž. přenesená",$N$198,0)</f>
        <v>0</v>
      </c>
      <c r="BI198" s="111">
        <f>IF($U$198="nulová",$N$198,0)</f>
        <v>0</v>
      </c>
      <c r="BJ198" s="6" t="s">
        <v>18</v>
      </c>
      <c r="BK198" s="112">
        <f>ROUND($L$198*$K$198,3)</f>
        <v>0</v>
      </c>
      <c r="BL198" s="6" t="s">
        <v>134</v>
      </c>
    </row>
    <row r="199" spans="2:64" s="6" customFormat="1" ht="27" customHeight="1">
      <c r="B199" s="19"/>
      <c r="C199" s="125">
        <v>50</v>
      </c>
      <c r="D199" s="125" t="s">
        <v>212</v>
      </c>
      <c r="E199" s="126" t="s">
        <v>233</v>
      </c>
      <c r="F199" s="234" t="s">
        <v>234</v>
      </c>
      <c r="G199" s="235"/>
      <c r="H199" s="235"/>
      <c r="I199" s="235"/>
      <c r="J199" s="127" t="s">
        <v>183</v>
      </c>
      <c r="K199" s="128">
        <v>285.184</v>
      </c>
      <c r="L199" s="236"/>
      <c r="M199" s="235"/>
      <c r="N199" s="236">
        <f>K199*L199</f>
        <v>0</v>
      </c>
      <c r="O199" s="224"/>
      <c r="P199" s="224"/>
      <c r="Q199" s="224"/>
      <c r="R199" s="20"/>
      <c r="T199" s="108"/>
      <c r="U199" s="26" t="s">
        <v>37</v>
      </c>
      <c r="V199" s="109">
        <v>0</v>
      </c>
      <c r="W199" s="109">
        <f>$V$199*$K$199</f>
        <v>0</v>
      </c>
      <c r="X199" s="109">
        <v>0.014</v>
      </c>
      <c r="Y199" s="109">
        <f>$X$199*$K$199</f>
        <v>3.9925760000000006</v>
      </c>
      <c r="Z199" s="109">
        <v>0</v>
      </c>
      <c r="AA199" s="110">
        <f>$Z$199*$K$199</f>
        <v>0</v>
      </c>
      <c r="AC199" s="138"/>
      <c r="AD199" s="138"/>
      <c r="AE199" s="138"/>
      <c r="AF199" s="138"/>
      <c r="AG199" s="138"/>
      <c r="AH199" s="138"/>
      <c r="AI199" s="138"/>
      <c r="AJ199" s="138"/>
      <c r="AR199" s="6" t="s">
        <v>153</v>
      </c>
      <c r="AT199" s="6" t="s">
        <v>212</v>
      </c>
      <c r="AU199" s="6" t="s">
        <v>82</v>
      </c>
      <c r="AY199" s="6" t="s">
        <v>129</v>
      </c>
      <c r="BE199" s="111">
        <f>IF($U$199="základní",$N$199,0)</f>
        <v>0</v>
      </c>
      <c r="BF199" s="111">
        <f>IF($U$199="snížená",$N$199,0)</f>
        <v>0</v>
      </c>
      <c r="BG199" s="111">
        <f>IF($U$199="zákl. přenesená",$N$199,0)</f>
        <v>0</v>
      </c>
      <c r="BH199" s="111">
        <f>IF($U$199="sníž. přenesená",$N$199,0)</f>
        <v>0</v>
      </c>
      <c r="BI199" s="111">
        <f>IF($U$199="nulová",$N$199,0)</f>
        <v>0</v>
      </c>
      <c r="BJ199" s="6" t="s">
        <v>18</v>
      </c>
      <c r="BK199" s="112">
        <f>ROUND($L$199*$K$199,3)</f>
        <v>0</v>
      </c>
      <c r="BL199" s="6" t="s">
        <v>134</v>
      </c>
    </row>
    <row r="200" spans="2:51" s="6" customFormat="1" ht="15.75" customHeight="1">
      <c r="B200" s="113"/>
      <c r="E200" s="114"/>
      <c r="F200" s="230" t="s">
        <v>235</v>
      </c>
      <c r="G200" s="231"/>
      <c r="H200" s="231"/>
      <c r="I200" s="231"/>
      <c r="K200" s="115">
        <v>285.184</v>
      </c>
      <c r="R200" s="116"/>
      <c r="T200" s="117"/>
      <c r="AA200" s="118"/>
      <c r="AC200" s="138"/>
      <c r="AD200" s="138"/>
      <c r="AE200" s="138"/>
      <c r="AF200" s="138"/>
      <c r="AG200" s="138"/>
      <c r="AH200" s="138"/>
      <c r="AI200" s="138"/>
      <c r="AJ200" s="138"/>
      <c r="AT200" s="114" t="s">
        <v>142</v>
      </c>
      <c r="AU200" s="114" t="s">
        <v>82</v>
      </c>
      <c r="AV200" s="114" t="s">
        <v>82</v>
      </c>
      <c r="AW200" s="114" t="s">
        <v>90</v>
      </c>
      <c r="AX200" s="114" t="s">
        <v>18</v>
      </c>
      <c r="AY200" s="114" t="s">
        <v>129</v>
      </c>
    </row>
    <row r="201" spans="2:64" s="6" customFormat="1" ht="27" customHeight="1">
      <c r="B201" s="19"/>
      <c r="C201" s="104">
        <v>51</v>
      </c>
      <c r="D201" s="104" t="s">
        <v>130</v>
      </c>
      <c r="E201" s="105" t="s">
        <v>215</v>
      </c>
      <c r="F201" s="223" t="s">
        <v>216</v>
      </c>
      <c r="G201" s="224"/>
      <c r="H201" s="224"/>
      <c r="I201" s="224"/>
      <c r="J201" s="106" t="s">
        <v>187</v>
      </c>
      <c r="K201" s="107">
        <v>22.292</v>
      </c>
      <c r="L201" s="225"/>
      <c r="M201" s="224"/>
      <c r="N201" s="225">
        <f>K201*L201</f>
        <v>0</v>
      </c>
      <c r="O201" s="224"/>
      <c r="P201" s="224"/>
      <c r="Q201" s="224"/>
      <c r="R201" s="20"/>
      <c r="T201" s="108"/>
      <c r="U201" s="26" t="s">
        <v>37</v>
      </c>
      <c r="V201" s="109">
        <v>0.39</v>
      </c>
      <c r="W201" s="109">
        <f>$V$201*$K$201</f>
        <v>8.69388</v>
      </c>
      <c r="X201" s="109">
        <v>0</v>
      </c>
      <c r="Y201" s="109">
        <f>$X$201*$K$201</f>
        <v>0</v>
      </c>
      <c r="Z201" s="109">
        <v>0</v>
      </c>
      <c r="AA201" s="110">
        <f>$Z$201*$K$201</f>
        <v>0</v>
      </c>
      <c r="AC201" s="138"/>
      <c r="AD201" s="138"/>
      <c r="AE201" s="138"/>
      <c r="AF201" s="138"/>
      <c r="AG201" s="138"/>
      <c r="AH201" s="138"/>
      <c r="AI201" s="138"/>
      <c r="AJ201" s="138"/>
      <c r="AR201" s="6" t="s">
        <v>134</v>
      </c>
      <c r="AT201" s="6" t="s">
        <v>130</v>
      </c>
      <c r="AU201" s="6" t="s">
        <v>82</v>
      </c>
      <c r="AY201" s="6" t="s">
        <v>129</v>
      </c>
      <c r="BE201" s="111">
        <f>IF($U$201="základní",$N$201,0)</f>
        <v>0</v>
      </c>
      <c r="BF201" s="111">
        <f>IF($U$201="snížená",$N$201,0)</f>
        <v>0</v>
      </c>
      <c r="BG201" s="111">
        <f>IF($U$201="zákl. přenesená",$N$201,0)</f>
        <v>0</v>
      </c>
      <c r="BH201" s="111">
        <f>IF($U$201="sníž. přenesená",$N$201,0)</f>
        <v>0</v>
      </c>
      <c r="BI201" s="111">
        <f>IF($U$201="nulová",$N$201,0)</f>
        <v>0</v>
      </c>
      <c r="BJ201" s="6" t="s">
        <v>18</v>
      </c>
      <c r="BK201" s="112">
        <f>ROUND($L$201*$K$201,3)</f>
        <v>0</v>
      </c>
      <c r="BL201" s="6" t="s">
        <v>134</v>
      </c>
    </row>
    <row r="202" spans="2:63" s="94" customFormat="1" ht="30.75" customHeight="1">
      <c r="B202" s="95"/>
      <c r="D202" s="103" t="s">
        <v>100</v>
      </c>
      <c r="N202" s="229">
        <f>SUM(N203:Q207)</f>
        <v>0</v>
      </c>
      <c r="O202" s="228"/>
      <c r="P202" s="228"/>
      <c r="Q202" s="228"/>
      <c r="R202" s="98"/>
      <c r="T202" s="99"/>
      <c r="W202" s="100">
        <f>SUM($W$203:$W$207)</f>
        <v>2174.8812700028</v>
      </c>
      <c r="Y202" s="100">
        <f>SUM($Y$203:$Y$207)</f>
        <v>859.4549558823529</v>
      </c>
      <c r="AA202" s="101">
        <f>SUM($AA$203:$AA$207)</f>
        <v>0</v>
      </c>
      <c r="AC202" s="140"/>
      <c r="AD202" s="140"/>
      <c r="AE202" s="140"/>
      <c r="AF202" s="140"/>
      <c r="AG202" s="140"/>
      <c r="AH202" s="140"/>
      <c r="AI202" s="140"/>
      <c r="AJ202" s="140"/>
      <c r="AR202" s="97" t="s">
        <v>18</v>
      </c>
      <c r="AT202" s="97" t="s">
        <v>71</v>
      </c>
      <c r="AU202" s="97" t="s">
        <v>18</v>
      </c>
      <c r="AY202" s="97" t="s">
        <v>129</v>
      </c>
      <c r="BK202" s="102">
        <f>SUM($BK$203:$BK$207)</f>
        <v>0</v>
      </c>
    </row>
    <row r="203" spans="2:64" s="6" customFormat="1" ht="27" customHeight="1">
      <c r="B203" s="19"/>
      <c r="C203" s="104">
        <v>52</v>
      </c>
      <c r="D203" s="104" t="s">
        <v>130</v>
      </c>
      <c r="E203" s="105" t="s">
        <v>236</v>
      </c>
      <c r="F203" s="237" t="s">
        <v>352</v>
      </c>
      <c r="G203" s="224"/>
      <c r="H203" s="224"/>
      <c r="I203" s="224"/>
      <c r="J203" s="106" t="s">
        <v>149</v>
      </c>
      <c r="K203" s="107">
        <v>1311.25</v>
      </c>
      <c r="L203" s="225"/>
      <c r="M203" s="224"/>
      <c r="N203" s="225">
        <f>K203*L203</f>
        <v>0</v>
      </c>
      <c r="O203" s="224"/>
      <c r="P203" s="224"/>
      <c r="Q203" s="224"/>
      <c r="R203" s="20"/>
      <c r="T203" s="108"/>
      <c r="U203" s="26" t="s">
        <v>37</v>
      </c>
      <c r="V203" s="109">
        <v>1.374</v>
      </c>
      <c r="W203" s="109">
        <f>$V$203*$K$203</f>
        <v>1801.6575000000003</v>
      </c>
      <c r="X203" s="109">
        <v>0.167</v>
      </c>
      <c r="Y203" s="109">
        <f>$X$203*$K$203</f>
        <v>218.97875000000002</v>
      </c>
      <c r="Z203" s="109">
        <v>0</v>
      </c>
      <c r="AA203" s="110">
        <f>$Z$203*$K$203</f>
        <v>0</v>
      </c>
      <c r="AC203" s="138"/>
      <c r="AD203" s="138"/>
      <c r="AE203" s="138"/>
      <c r="AF203" s="138"/>
      <c r="AG203" s="138"/>
      <c r="AH203" s="138"/>
      <c r="AI203" s="138"/>
      <c r="AJ203" s="138"/>
      <c r="AR203" s="6" t="s">
        <v>134</v>
      </c>
      <c r="AT203" s="6" t="s">
        <v>130</v>
      </c>
      <c r="AU203" s="6" t="s">
        <v>82</v>
      </c>
      <c r="AY203" s="6" t="s">
        <v>129</v>
      </c>
      <c r="BE203" s="111">
        <f>IF($U$203="základní",$N$203,0)</f>
        <v>0</v>
      </c>
      <c r="BF203" s="111">
        <f>IF($U$203="snížená",$N$203,0)</f>
        <v>0</v>
      </c>
      <c r="BG203" s="111">
        <f>IF($U$203="zákl. přenesená",$N$203,0)</f>
        <v>0</v>
      </c>
      <c r="BH203" s="111">
        <f>IF($U$203="sníž. přenesená",$N$203,0)</f>
        <v>0</v>
      </c>
      <c r="BI203" s="111">
        <f>IF($U$203="nulová",$N$203,0)</f>
        <v>0</v>
      </c>
      <c r="BJ203" s="6" t="s">
        <v>18</v>
      </c>
      <c r="BK203" s="112">
        <f>ROUND($L$203*$K$203,3)</f>
        <v>0</v>
      </c>
      <c r="BL203" s="6" t="s">
        <v>134</v>
      </c>
    </row>
    <row r="204" spans="2:64" s="6" customFormat="1" ht="15.75" customHeight="1">
      <c r="B204" s="19"/>
      <c r="C204" s="125">
        <v>53</v>
      </c>
      <c r="D204" s="125" t="s">
        <v>212</v>
      </c>
      <c r="E204" s="126" t="s">
        <v>237</v>
      </c>
      <c r="F204" s="238" t="s">
        <v>353</v>
      </c>
      <c r="G204" s="235"/>
      <c r="H204" s="235"/>
      <c r="I204" s="235"/>
      <c r="J204" s="127" t="s">
        <v>187</v>
      </c>
      <c r="K204" s="128">
        <f>K205</f>
        <v>154.26470588235293</v>
      </c>
      <c r="L204" s="236"/>
      <c r="M204" s="235"/>
      <c r="N204" s="236">
        <f>K204*L204</f>
        <v>0</v>
      </c>
      <c r="O204" s="224"/>
      <c r="P204" s="224"/>
      <c r="Q204" s="224"/>
      <c r="R204" s="20"/>
      <c r="T204" s="108"/>
      <c r="U204" s="26" t="s">
        <v>37</v>
      </c>
      <c r="V204" s="109">
        <v>0</v>
      </c>
      <c r="W204" s="109">
        <f>$V$204*$K$204</f>
        <v>0</v>
      </c>
      <c r="X204" s="109">
        <v>1</v>
      </c>
      <c r="Y204" s="109">
        <f>$X$204*$K$204</f>
        <v>154.26470588235293</v>
      </c>
      <c r="Z204" s="109">
        <v>0</v>
      </c>
      <c r="AA204" s="110">
        <f>$Z$204*$K$204</f>
        <v>0</v>
      </c>
      <c r="AC204" s="138"/>
      <c r="AD204" s="138"/>
      <c r="AE204" s="138"/>
      <c r="AF204" s="138"/>
      <c r="AG204" s="138"/>
      <c r="AH204" s="138"/>
      <c r="AI204" s="138"/>
      <c r="AJ204" s="138"/>
      <c r="AR204" s="6" t="s">
        <v>238</v>
      </c>
      <c r="AT204" s="6" t="s">
        <v>212</v>
      </c>
      <c r="AU204" s="6" t="s">
        <v>82</v>
      </c>
      <c r="AY204" s="6" t="s">
        <v>129</v>
      </c>
      <c r="BE204" s="111">
        <f>IF($U$204="základní",$N$204,0)</f>
        <v>0</v>
      </c>
      <c r="BF204" s="111">
        <f>IF($U$204="snížená",$N$204,0)</f>
        <v>0</v>
      </c>
      <c r="BG204" s="111">
        <f>IF($U$204="zákl. přenesená",$N$204,0)</f>
        <v>0</v>
      </c>
      <c r="BH204" s="111">
        <f>IF($U$204="sníž. přenesená",$N$204,0)</f>
        <v>0</v>
      </c>
      <c r="BI204" s="111">
        <f>IF($U$204="nulová",$N$204,0)</f>
        <v>0</v>
      </c>
      <c r="BJ204" s="6" t="s">
        <v>18</v>
      </c>
      <c r="BK204" s="112">
        <f>ROUND($L$204*$K$204,3)</f>
        <v>0</v>
      </c>
      <c r="BL204" s="6" t="s">
        <v>238</v>
      </c>
    </row>
    <row r="205" spans="2:51" s="6" customFormat="1" ht="15.75" customHeight="1">
      <c r="B205" s="113"/>
      <c r="E205" s="114"/>
      <c r="F205" s="230" t="s">
        <v>320</v>
      </c>
      <c r="G205" s="231"/>
      <c r="H205" s="231"/>
      <c r="I205" s="231"/>
      <c r="K205" s="115">
        <f>1311.25/8.5</f>
        <v>154.26470588235293</v>
      </c>
      <c r="R205" s="116"/>
      <c r="T205" s="117"/>
      <c r="AA205" s="118"/>
      <c r="AC205" s="138"/>
      <c r="AD205" s="138"/>
      <c r="AE205" s="138"/>
      <c r="AF205" s="138"/>
      <c r="AG205" s="138"/>
      <c r="AH205" s="138"/>
      <c r="AI205" s="138"/>
      <c r="AJ205" s="138"/>
      <c r="AT205" s="114" t="s">
        <v>142</v>
      </c>
      <c r="AU205" s="114" t="s">
        <v>82</v>
      </c>
      <c r="AV205" s="114" t="s">
        <v>82</v>
      </c>
      <c r="AW205" s="114" t="s">
        <v>90</v>
      </c>
      <c r="AX205" s="114" t="s">
        <v>18</v>
      </c>
      <c r="AY205" s="114" t="s">
        <v>129</v>
      </c>
    </row>
    <row r="206" spans="2:64" s="6" customFormat="1" ht="15.75" customHeight="1">
      <c r="B206" s="19"/>
      <c r="C206" s="104">
        <v>54</v>
      </c>
      <c r="D206" s="104" t="s">
        <v>130</v>
      </c>
      <c r="E206" s="105" t="s">
        <v>239</v>
      </c>
      <c r="F206" s="223" t="s">
        <v>240</v>
      </c>
      <c r="G206" s="224"/>
      <c r="H206" s="224"/>
      <c r="I206" s="224"/>
      <c r="J206" s="106" t="s">
        <v>149</v>
      </c>
      <c r="K206" s="107">
        <v>1311.25</v>
      </c>
      <c r="L206" s="225"/>
      <c r="M206" s="224"/>
      <c r="N206" s="225">
        <f>K206*L206</f>
        <v>0</v>
      </c>
      <c r="O206" s="224"/>
      <c r="P206" s="224"/>
      <c r="Q206" s="224"/>
      <c r="R206" s="20"/>
      <c r="T206" s="108"/>
      <c r="U206" s="26" t="s">
        <v>37</v>
      </c>
      <c r="V206" s="109">
        <v>0.029</v>
      </c>
      <c r="W206" s="109">
        <f>$V$206*$K$206</f>
        <v>38.026250000000005</v>
      </c>
      <c r="X206" s="109">
        <v>0.3708</v>
      </c>
      <c r="Y206" s="109">
        <f>$X$206*$K$206</f>
        <v>486.2115</v>
      </c>
      <c r="Z206" s="109">
        <v>0</v>
      </c>
      <c r="AA206" s="110">
        <f>$Z$206*$K$206</f>
        <v>0</v>
      </c>
      <c r="AC206" s="138"/>
      <c r="AD206" s="138"/>
      <c r="AE206" s="138"/>
      <c r="AF206" s="138"/>
      <c r="AG206" s="138"/>
      <c r="AH206" s="138"/>
      <c r="AI206" s="138"/>
      <c r="AJ206" s="138"/>
      <c r="AR206" s="6" t="s">
        <v>134</v>
      </c>
      <c r="AT206" s="6" t="s">
        <v>130</v>
      </c>
      <c r="AU206" s="6" t="s">
        <v>82</v>
      </c>
      <c r="AY206" s="6" t="s">
        <v>129</v>
      </c>
      <c r="BE206" s="111">
        <f>IF($U$206="základní",$N$206,0)</f>
        <v>0</v>
      </c>
      <c r="BF206" s="111">
        <f>IF($U$206="snížená",$N$206,0)</f>
        <v>0</v>
      </c>
      <c r="BG206" s="111">
        <f>IF($U$206="zákl. přenesená",$N$206,0)</f>
        <v>0</v>
      </c>
      <c r="BH206" s="111">
        <f>IF($U$206="sníž. přenesená",$N$206,0)</f>
        <v>0</v>
      </c>
      <c r="BI206" s="111">
        <f>IF($U$206="nulová",$N$206,0)</f>
        <v>0</v>
      </c>
      <c r="BJ206" s="6" t="s">
        <v>18</v>
      </c>
      <c r="BK206" s="112">
        <f>ROUND($L$206*$K$206,3)</f>
        <v>0</v>
      </c>
      <c r="BL206" s="6" t="s">
        <v>134</v>
      </c>
    </row>
    <row r="207" spans="2:64" s="6" customFormat="1" ht="27" customHeight="1">
      <c r="B207" s="19"/>
      <c r="C207" s="104">
        <v>55</v>
      </c>
      <c r="D207" s="104" t="s">
        <v>130</v>
      </c>
      <c r="E207" s="105" t="s">
        <v>215</v>
      </c>
      <c r="F207" s="223" t="s">
        <v>216</v>
      </c>
      <c r="G207" s="224"/>
      <c r="H207" s="224"/>
      <c r="I207" s="224"/>
      <c r="J207" s="106" t="s">
        <v>187</v>
      </c>
      <c r="K207" s="107">
        <f>K203*0.655466784</f>
        <v>859.4808205200001</v>
      </c>
      <c r="L207" s="225"/>
      <c r="M207" s="224"/>
      <c r="N207" s="225">
        <f>K207*L207</f>
        <v>0</v>
      </c>
      <c r="O207" s="224"/>
      <c r="P207" s="224"/>
      <c r="Q207" s="224"/>
      <c r="R207" s="20"/>
      <c r="T207" s="108"/>
      <c r="U207" s="26" t="s">
        <v>37</v>
      </c>
      <c r="V207" s="109">
        <v>0.39</v>
      </c>
      <c r="W207" s="109">
        <f>$V$207*$K$207</f>
        <v>335.19752000280005</v>
      </c>
      <c r="X207" s="109">
        <v>0</v>
      </c>
      <c r="Y207" s="109">
        <f>$X$207*$K$207</f>
        <v>0</v>
      </c>
      <c r="Z207" s="109">
        <v>0</v>
      </c>
      <c r="AA207" s="110">
        <f>$Z$207*$K$207</f>
        <v>0</v>
      </c>
      <c r="AC207" s="138"/>
      <c r="AD207" s="138"/>
      <c r="AE207" s="138"/>
      <c r="AF207" s="138"/>
      <c r="AG207" s="138"/>
      <c r="AH207" s="138"/>
      <c r="AI207" s="138"/>
      <c r="AJ207" s="138"/>
      <c r="AR207" s="6" t="s">
        <v>134</v>
      </c>
      <c r="AT207" s="6" t="s">
        <v>130</v>
      </c>
      <c r="AU207" s="6" t="s">
        <v>82</v>
      </c>
      <c r="AY207" s="6" t="s">
        <v>129</v>
      </c>
      <c r="BE207" s="111">
        <f>IF($U$207="základní",$N$207,0)</f>
        <v>0</v>
      </c>
      <c r="BF207" s="111">
        <f>IF($U$207="snížená",$N$207,0)</f>
        <v>0</v>
      </c>
      <c r="BG207" s="111">
        <f>IF($U$207="zákl. přenesená",$N$207,0)</f>
        <v>0</v>
      </c>
      <c r="BH207" s="111">
        <f>IF($U$207="sníž. přenesená",$N$207,0)</f>
        <v>0</v>
      </c>
      <c r="BI207" s="111">
        <f>IF($U$207="nulová",$N$207,0)</f>
        <v>0</v>
      </c>
      <c r="BJ207" s="6" t="s">
        <v>18</v>
      </c>
      <c r="BK207" s="112">
        <f>ROUND($L$207*$K$207,3)</f>
        <v>0</v>
      </c>
      <c r="BL207" s="6" t="s">
        <v>134</v>
      </c>
    </row>
    <row r="208" spans="2:63" s="94" customFormat="1" ht="30.75" customHeight="1">
      <c r="B208" s="95"/>
      <c r="D208" s="103" t="s">
        <v>101</v>
      </c>
      <c r="N208" s="229">
        <f>SUM(N209:Q212)</f>
        <v>0</v>
      </c>
      <c r="O208" s="228"/>
      <c r="P208" s="228"/>
      <c r="Q208" s="228"/>
      <c r="R208" s="98"/>
      <c r="T208" s="99"/>
      <c r="W208" s="100">
        <f>SUM($W$209:$W$212)</f>
        <v>57.34853000000001</v>
      </c>
      <c r="Y208" s="100">
        <f>SUM($Y$209:$Y$212)</f>
        <v>24.960550600000005</v>
      </c>
      <c r="AA208" s="101">
        <f>SUM($AA$209:$AA$212)</f>
        <v>0</v>
      </c>
      <c r="AC208" s="140"/>
      <c r="AD208" s="140"/>
      <c r="AE208" s="140"/>
      <c r="AF208" s="140"/>
      <c r="AG208" s="140"/>
      <c r="AH208" s="140"/>
      <c r="AI208" s="140"/>
      <c r="AJ208" s="140"/>
      <c r="AR208" s="97" t="s">
        <v>18</v>
      </c>
      <c r="AT208" s="97" t="s">
        <v>71</v>
      </c>
      <c r="AU208" s="97" t="s">
        <v>18</v>
      </c>
      <c r="AY208" s="97" t="s">
        <v>129</v>
      </c>
      <c r="BK208" s="102">
        <f>SUM($BK$209:$BK$212)</f>
        <v>0</v>
      </c>
    </row>
    <row r="209" spans="2:64" s="6" customFormat="1" ht="27" customHeight="1">
      <c r="B209" s="19"/>
      <c r="C209" s="104">
        <v>56</v>
      </c>
      <c r="D209" s="104" t="s">
        <v>130</v>
      </c>
      <c r="E209" s="105" t="s">
        <v>218</v>
      </c>
      <c r="F209" s="223" t="s">
        <v>308</v>
      </c>
      <c r="G209" s="224"/>
      <c r="H209" s="224"/>
      <c r="I209" s="224"/>
      <c r="J209" s="106" t="s">
        <v>149</v>
      </c>
      <c r="K209" s="107">
        <v>32.02</v>
      </c>
      <c r="L209" s="225"/>
      <c r="M209" s="224"/>
      <c r="N209" s="225">
        <f>K209*L209</f>
        <v>0</v>
      </c>
      <c r="O209" s="224"/>
      <c r="P209" s="224"/>
      <c r="Q209" s="224"/>
      <c r="R209" s="20"/>
      <c r="T209" s="108"/>
      <c r="U209" s="26" t="s">
        <v>37</v>
      </c>
      <c r="V209" s="109">
        <v>1.441</v>
      </c>
      <c r="W209" s="109">
        <f>$V$209*$K$209</f>
        <v>46.140820000000005</v>
      </c>
      <c r="X209" s="109">
        <v>0.19536</v>
      </c>
      <c r="Y209" s="109">
        <f>$X$209*$K$209</f>
        <v>6.255427200000001</v>
      </c>
      <c r="Z209" s="109">
        <v>0</v>
      </c>
      <c r="AA209" s="110">
        <f>$Z$209*$K$209</f>
        <v>0</v>
      </c>
      <c r="AC209" s="138"/>
      <c r="AD209" s="138"/>
      <c r="AE209" s="138"/>
      <c r="AF209" s="138"/>
      <c r="AG209" s="138"/>
      <c r="AH209" s="138"/>
      <c r="AI209" s="138"/>
      <c r="AJ209" s="138"/>
      <c r="AR209" s="6" t="s">
        <v>134</v>
      </c>
      <c r="AT209" s="6" t="s">
        <v>130</v>
      </c>
      <c r="AU209" s="6" t="s">
        <v>82</v>
      </c>
      <c r="AY209" s="6" t="s">
        <v>129</v>
      </c>
      <c r="BE209" s="111">
        <f>IF($U$209="základní",$N$209,0)</f>
        <v>0</v>
      </c>
      <c r="BF209" s="111">
        <f>IF($U$209="snížená",$N$209,0)</f>
        <v>0</v>
      </c>
      <c r="BG209" s="111">
        <f>IF($U$209="zákl. přenesená",$N$209,0)</f>
        <v>0</v>
      </c>
      <c r="BH209" s="111">
        <f>IF($U$209="sníž. přenesená",$N$209,0)</f>
        <v>0</v>
      </c>
      <c r="BI209" s="111">
        <f>IF($U$209="nulová",$N$209,0)</f>
        <v>0</v>
      </c>
      <c r="BJ209" s="6" t="s">
        <v>18</v>
      </c>
      <c r="BK209" s="112">
        <f>ROUND($L$209*$K$209,3)</f>
        <v>0</v>
      </c>
      <c r="BL209" s="6" t="s">
        <v>134</v>
      </c>
    </row>
    <row r="210" spans="2:64" s="6" customFormat="1" ht="15.75" customHeight="1">
      <c r="B210" s="19"/>
      <c r="C210" s="125">
        <v>57</v>
      </c>
      <c r="D210" s="125" t="s">
        <v>212</v>
      </c>
      <c r="E210" s="126" t="s">
        <v>241</v>
      </c>
      <c r="F210" s="234" t="s">
        <v>322</v>
      </c>
      <c r="G210" s="235"/>
      <c r="H210" s="235"/>
      <c r="I210" s="235"/>
      <c r="J210" s="127" t="s">
        <v>149</v>
      </c>
      <c r="K210" s="128">
        <v>32.02</v>
      </c>
      <c r="L210" s="236"/>
      <c r="M210" s="235"/>
      <c r="N210" s="236">
        <f>K210*L210</f>
        <v>0</v>
      </c>
      <c r="O210" s="224"/>
      <c r="P210" s="224"/>
      <c r="Q210" s="224"/>
      <c r="R210" s="20"/>
      <c r="T210" s="108"/>
      <c r="U210" s="26" t="s">
        <v>37</v>
      </c>
      <c r="V210" s="109">
        <v>0</v>
      </c>
      <c r="W210" s="109">
        <f>$V$210*$K$210</f>
        <v>0</v>
      </c>
      <c r="X210" s="109">
        <v>0.066</v>
      </c>
      <c r="Y210" s="109">
        <f>$X$210*$K$210</f>
        <v>2.1133200000000003</v>
      </c>
      <c r="Z210" s="109">
        <v>0</v>
      </c>
      <c r="AA210" s="110">
        <f>$Z$210*$K$210</f>
        <v>0</v>
      </c>
      <c r="AC210" s="138"/>
      <c r="AD210" s="138"/>
      <c r="AE210" s="138"/>
      <c r="AF210" s="138"/>
      <c r="AG210" s="138"/>
      <c r="AH210" s="138"/>
      <c r="AI210" s="138"/>
      <c r="AJ210" s="138"/>
      <c r="AR210" s="6" t="s">
        <v>153</v>
      </c>
      <c r="AT210" s="6" t="s">
        <v>212</v>
      </c>
      <c r="AU210" s="6" t="s">
        <v>82</v>
      </c>
      <c r="AY210" s="6" t="s">
        <v>129</v>
      </c>
      <c r="BE210" s="111">
        <f>IF($U$210="základní",$N$210,0)</f>
        <v>0</v>
      </c>
      <c r="BF210" s="111">
        <f>IF($U$210="snížená",$N$210,0)</f>
        <v>0</v>
      </c>
      <c r="BG210" s="111">
        <f>IF($U$210="zákl. přenesená",$N$210,0)</f>
        <v>0</v>
      </c>
      <c r="BH210" s="111">
        <f>IF($U$210="sníž. přenesená",$N$210,0)</f>
        <v>0</v>
      </c>
      <c r="BI210" s="111">
        <f>IF($U$210="nulová",$N$210,0)</f>
        <v>0</v>
      </c>
      <c r="BJ210" s="6" t="s">
        <v>18</v>
      </c>
      <c r="BK210" s="112">
        <f>ROUND($L$210*$K$210,3)</f>
        <v>0</v>
      </c>
      <c r="BL210" s="6" t="s">
        <v>134</v>
      </c>
    </row>
    <row r="211" spans="2:64" s="6" customFormat="1" ht="27" customHeight="1">
      <c r="B211" s="19"/>
      <c r="C211" s="104">
        <v>58</v>
      </c>
      <c r="D211" s="104" t="s">
        <v>130</v>
      </c>
      <c r="E211" s="105" t="s">
        <v>220</v>
      </c>
      <c r="F211" s="223" t="s">
        <v>221</v>
      </c>
      <c r="G211" s="224"/>
      <c r="H211" s="224"/>
      <c r="I211" s="224"/>
      <c r="J211" s="106" t="s">
        <v>149</v>
      </c>
      <c r="K211" s="107">
        <v>32.02</v>
      </c>
      <c r="L211" s="225"/>
      <c r="M211" s="224"/>
      <c r="N211" s="225">
        <f>K211*L211</f>
        <v>0</v>
      </c>
      <c r="O211" s="224"/>
      <c r="P211" s="224"/>
      <c r="Q211" s="224"/>
      <c r="R211" s="20"/>
      <c r="T211" s="108"/>
      <c r="U211" s="26" t="s">
        <v>37</v>
      </c>
      <c r="V211" s="109">
        <v>0.046</v>
      </c>
      <c r="W211" s="109">
        <f>$V$211*$K$211</f>
        <v>1.4729200000000002</v>
      </c>
      <c r="X211" s="109">
        <v>0.51817</v>
      </c>
      <c r="Y211" s="109">
        <f>$X$211*$K$211</f>
        <v>16.591803400000003</v>
      </c>
      <c r="Z211" s="109">
        <v>0</v>
      </c>
      <c r="AA211" s="110">
        <f>$Z$211*$K$211</f>
        <v>0</v>
      </c>
      <c r="AC211" s="138"/>
      <c r="AD211" s="138"/>
      <c r="AE211" s="138"/>
      <c r="AF211" s="138"/>
      <c r="AG211" s="138"/>
      <c r="AH211" s="138"/>
      <c r="AI211" s="138"/>
      <c r="AJ211" s="138"/>
      <c r="AR211" s="6" t="s">
        <v>134</v>
      </c>
      <c r="AT211" s="6" t="s">
        <v>130</v>
      </c>
      <c r="AU211" s="6" t="s">
        <v>82</v>
      </c>
      <c r="AY211" s="6" t="s">
        <v>129</v>
      </c>
      <c r="BE211" s="111">
        <f>IF($U$211="základní",$N$211,0)</f>
        <v>0</v>
      </c>
      <c r="BF211" s="111">
        <f>IF($U$211="snížená",$N$211,0)</f>
        <v>0</v>
      </c>
      <c r="BG211" s="111">
        <f>IF($U$211="zákl. přenesená",$N$211,0)</f>
        <v>0</v>
      </c>
      <c r="BH211" s="111">
        <f>IF($U$211="sníž. přenesená",$N$211,0)</f>
        <v>0</v>
      </c>
      <c r="BI211" s="111">
        <f>IF($U$211="nulová",$N$211,0)</f>
        <v>0</v>
      </c>
      <c r="BJ211" s="6" t="s">
        <v>18</v>
      </c>
      <c r="BK211" s="112">
        <f>ROUND($L$211*$K$211,3)</f>
        <v>0</v>
      </c>
      <c r="BL211" s="6" t="s">
        <v>134</v>
      </c>
    </row>
    <row r="212" spans="2:64" s="6" customFormat="1" ht="27" customHeight="1">
      <c r="B212" s="19"/>
      <c r="C212" s="104">
        <v>59</v>
      </c>
      <c r="D212" s="104" t="s">
        <v>130</v>
      </c>
      <c r="E212" s="105" t="s">
        <v>215</v>
      </c>
      <c r="F212" s="223" t="s">
        <v>216</v>
      </c>
      <c r="G212" s="224"/>
      <c r="H212" s="224"/>
      <c r="I212" s="224"/>
      <c r="J212" s="106" t="s">
        <v>187</v>
      </c>
      <c r="K212" s="107">
        <v>24.961</v>
      </c>
      <c r="L212" s="225"/>
      <c r="M212" s="224"/>
      <c r="N212" s="225">
        <f>K212*L212</f>
        <v>0</v>
      </c>
      <c r="O212" s="224"/>
      <c r="P212" s="224"/>
      <c r="Q212" s="224"/>
      <c r="R212" s="20"/>
      <c r="T212" s="108"/>
      <c r="U212" s="26" t="s">
        <v>37</v>
      </c>
      <c r="V212" s="109">
        <v>0.39</v>
      </c>
      <c r="W212" s="109">
        <f>$V$212*$K$212</f>
        <v>9.73479</v>
      </c>
      <c r="X212" s="109">
        <v>0</v>
      </c>
      <c r="Y212" s="109">
        <f>$X$212*$K$212</f>
        <v>0</v>
      </c>
      <c r="Z212" s="109">
        <v>0</v>
      </c>
      <c r="AA212" s="110">
        <f>$Z$212*$K$212</f>
        <v>0</v>
      </c>
      <c r="AC212" s="138"/>
      <c r="AD212" s="138"/>
      <c r="AE212" s="138"/>
      <c r="AF212" s="138"/>
      <c r="AG212" s="138"/>
      <c r="AH212" s="138"/>
      <c r="AI212" s="138"/>
      <c r="AJ212" s="138"/>
      <c r="AR212" s="6" t="s">
        <v>134</v>
      </c>
      <c r="AT212" s="6" t="s">
        <v>130</v>
      </c>
      <c r="AU212" s="6" t="s">
        <v>82</v>
      </c>
      <c r="AY212" s="6" t="s">
        <v>129</v>
      </c>
      <c r="BE212" s="111">
        <f>IF($U$212="základní",$N$212,0)</f>
        <v>0</v>
      </c>
      <c r="BF212" s="111">
        <f>IF($U$212="snížená",$N$212,0)</f>
        <v>0</v>
      </c>
      <c r="BG212" s="111">
        <f>IF($U$212="zákl. přenesená",$N$212,0)</f>
        <v>0</v>
      </c>
      <c r="BH212" s="111">
        <f>IF($U$212="sníž. přenesená",$N$212,0)</f>
        <v>0</v>
      </c>
      <c r="BI212" s="111">
        <f>IF($U$212="nulová",$N$212,0)</f>
        <v>0</v>
      </c>
      <c r="BJ212" s="6" t="s">
        <v>18</v>
      </c>
      <c r="BK212" s="112">
        <f>ROUND($L$212*$K$212,3)</f>
        <v>0</v>
      </c>
      <c r="BL212" s="6" t="s">
        <v>134</v>
      </c>
    </row>
    <row r="213" spans="2:63" s="94" customFormat="1" ht="30.75" customHeight="1">
      <c r="B213" s="95"/>
      <c r="D213" s="103" t="s">
        <v>102</v>
      </c>
      <c r="N213" s="229">
        <f>SUM(N214:Q218)</f>
        <v>0</v>
      </c>
      <c r="O213" s="228"/>
      <c r="P213" s="228"/>
      <c r="Q213" s="228"/>
      <c r="R213" s="98"/>
      <c r="T213" s="99"/>
      <c r="W213" s="100">
        <f>SUM($W$214:$W$218)</f>
        <v>39.346140000000005</v>
      </c>
      <c r="Y213" s="100">
        <f>SUM($Y$214:$Y$218)</f>
        <v>23.505799200000002</v>
      </c>
      <c r="AA213" s="101">
        <f>SUM($AA$214:$AA$218)</f>
        <v>0</v>
      </c>
      <c r="AC213" s="140"/>
      <c r="AD213" s="140"/>
      <c r="AE213" s="140"/>
      <c r="AF213" s="140"/>
      <c r="AG213" s="140"/>
      <c r="AH213" s="140"/>
      <c r="AI213" s="140"/>
      <c r="AJ213" s="140"/>
      <c r="AR213" s="97" t="s">
        <v>18</v>
      </c>
      <c r="AT213" s="97" t="s">
        <v>71</v>
      </c>
      <c r="AU213" s="97" t="s">
        <v>18</v>
      </c>
      <c r="AY213" s="97" t="s">
        <v>129</v>
      </c>
      <c r="BK213" s="102">
        <f>SUM($BK$214:$BK$218)</f>
        <v>0</v>
      </c>
    </row>
    <row r="214" spans="2:64" s="6" customFormat="1" ht="27" customHeight="1">
      <c r="B214" s="19"/>
      <c r="C214" s="104">
        <v>60</v>
      </c>
      <c r="D214" s="104" t="s">
        <v>130</v>
      </c>
      <c r="E214" s="105" t="s">
        <v>218</v>
      </c>
      <c r="F214" s="223" t="s">
        <v>308</v>
      </c>
      <c r="G214" s="224"/>
      <c r="H214" s="224"/>
      <c r="I214" s="224"/>
      <c r="J214" s="106" t="s">
        <v>149</v>
      </c>
      <c r="K214" s="107">
        <v>19.92</v>
      </c>
      <c r="L214" s="225"/>
      <c r="M214" s="224"/>
      <c r="N214" s="225">
        <f>K214*L214</f>
        <v>0</v>
      </c>
      <c r="O214" s="224"/>
      <c r="P214" s="224"/>
      <c r="Q214" s="224"/>
      <c r="R214" s="20"/>
      <c r="T214" s="108"/>
      <c r="U214" s="26" t="s">
        <v>37</v>
      </c>
      <c r="V214" s="109">
        <v>1.441</v>
      </c>
      <c r="W214" s="109">
        <f>$V$214*$K$214</f>
        <v>28.704720000000005</v>
      </c>
      <c r="X214" s="109">
        <v>0.19536</v>
      </c>
      <c r="Y214" s="109">
        <f>$X$214*$K$214</f>
        <v>3.8915712000000005</v>
      </c>
      <c r="Z214" s="109">
        <v>0</v>
      </c>
      <c r="AA214" s="110">
        <f>$Z$214*$K$214</f>
        <v>0</v>
      </c>
      <c r="AC214" s="138"/>
      <c r="AD214" s="138"/>
      <c r="AE214" s="138"/>
      <c r="AF214" s="138"/>
      <c r="AG214" s="138"/>
      <c r="AH214" s="138"/>
      <c r="AI214" s="138"/>
      <c r="AJ214" s="138"/>
      <c r="AR214" s="6" t="s">
        <v>134</v>
      </c>
      <c r="AT214" s="6" t="s">
        <v>130</v>
      </c>
      <c r="AU214" s="6" t="s">
        <v>82</v>
      </c>
      <c r="AY214" s="6" t="s">
        <v>129</v>
      </c>
      <c r="BE214" s="111">
        <f>IF($U$214="základní",$N$214,0)</f>
        <v>0</v>
      </c>
      <c r="BF214" s="111">
        <f>IF($U$214="snížená",$N$214,0)</f>
        <v>0</v>
      </c>
      <c r="BG214" s="111">
        <f>IF($U$214="zákl. přenesená",$N$214,0)</f>
        <v>0</v>
      </c>
      <c r="BH214" s="111">
        <f>IF($U$214="sníž. přenesená",$N$214,0)</f>
        <v>0</v>
      </c>
      <c r="BI214" s="111">
        <f>IF($U$214="nulová",$N$214,0)</f>
        <v>0</v>
      </c>
      <c r="BJ214" s="6" t="s">
        <v>18</v>
      </c>
      <c r="BK214" s="112">
        <f>ROUND($L$214*$K$214,3)</f>
        <v>0</v>
      </c>
      <c r="BL214" s="6" t="s">
        <v>134</v>
      </c>
    </row>
    <row r="215" spans="2:64" s="6" customFormat="1" ht="15.75" customHeight="1">
      <c r="B215" s="19"/>
      <c r="C215" s="125">
        <v>61</v>
      </c>
      <c r="D215" s="125" t="s">
        <v>212</v>
      </c>
      <c r="E215" s="126" t="s">
        <v>242</v>
      </c>
      <c r="F215" s="234" t="s">
        <v>243</v>
      </c>
      <c r="G215" s="235"/>
      <c r="H215" s="235"/>
      <c r="I215" s="235"/>
      <c r="J215" s="127" t="s">
        <v>149</v>
      </c>
      <c r="K215" s="128">
        <v>19.92</v>
      </c>
      <c r="L215" s="236"/>
      <c r="M215" s="235"/>
      <c r="N215" s="236">
        <f>K215*L215</f>
        <v>0</v>
      </c>
      <c r="O215" s="224"/>
      <c r="P215" s="224"/>
      <c r="Q215" s="224"/>
      <c r="R215" s="20"/>
      <c r="T215" s="108"/>
      <c r="U215" s="26" t="s">
        <v>37</v>
      </c>
      <c r="V215" s="109">
        <v>0</v>
      </c>
      <c r="W215" s="109">
        <f>$V$215*$K$215</f>
        <v>0</v>
      </c>
      <c r="X215" s="109">
        <v>0.07</v>
      </c>
      <c r="Y215" s="109">
        <f>$X$215*$K$215</f>
        <v>1.3944000000000003</v>
      </c>
      <c r="Z215" s="109">
        <v>0</v>
      </c>
      <c r="AA215" s="110">
        <f>$Z$215*$K$215</f>
        <v>0</v>
      </c>
      <c r="AC215" s="138"/>
      <c r="AD215" s="138"/>
      <c r="AE215" s="138"/>
      <c r="AF215" s="138"/>
      <c r="AG215" s="138"/>
      <c r="AH215" s="138"/>
      <c r="AI215" s="138"/>
      <c r="AJ215" s="138"/>
      <c r="AR215" s="6" t="s">
        <v>153</v>
      </c>
      <c r="AT215" s="6" t="s">
        <v>212</v>
      </c>
      <c r="AU215" s="6" t="s">
        <v>82</v>
      </c>
      <c r="AY215" s="6" t="s">
        <v>129</v>
      </c>
      <c r="BE215" s="111">
        <f>IF($U$215="základní",$N$215,0)</f>
        <v>0</v>
      </c>
      <c r="BF215" s="111">
        <f>IF($U$215="snížená",$N$215,0)</f>
        <v>0</v>
      </c>
      <c r="BG215" s="111">
        <f>IF($U$215="zákl. přenesená",$N$215,0)</f>
        <v>0</v>
      </c>
      <c r="BH215" s="111">
        <f>IF($U$215="sníž. přenesená",$N$215,0)</f>
        <v>0</v>
      </c>
      <c r="BI215" s="111">
        <f>IF($U$215="nulová",$N$215,0)</f>
        <v>0</v>
      </c>
      <c r="BJ215" s="6" t="s">
        <v>18</v>
      </c>
      <c r="BK215" s="112">
        <f>ROUND($L$215*$K$215,3)</f>
        <v>0</v>
      </c>
      <c r="BL215" s="6" t="s">
        <v>134</v>
      </c>
    </row>
    <row r="216" spans="2:64" s="6" customFormat="1" ht="27" customHeight="1">
      <c r="B216" s="19"/>
      <c r="C216" s="104">
        <v>62</v>
      </c>
      <c r="D216" s="104" t="s">
        <v>130</v>
      </c>
      <c r="E216" s="105" t="s">
        <v>244</v>
      </c>
      <c r="F216" s="223" t="s">
        <v>245</v>
      </c>
      <c r="G216" s="224"/>
      <c r="H216" s="224"/>
      <c r="I216" s="224"/>
      <c r="J216" s="106" t="s">
        <v>149</v>
      </c>
      <c r="K216" s="107">
        <v>19.92</v>
      </c>
      <c r="L216" s="225"/>
      <c r="M216" s="224"/>
      <c r="N216" s="225">
        <f>K216*L216</f>
        <v>0</v>
      </c>
      <c r="O216" s="224"/>
      <c r="P216" s="224"/>
      <c r="Q216" s="224"/>
      <c r="R216" s="20"/>
      <c r="T216" s="108"/>
      <c r="U216" s="26" t="s">
        <v>37</v>
      </c>
      <c r="V216" s="109">
        <v>0.042</v>
      </c>
      <c r="W216" s="109">
        <f>$V$216*$K$216</f>
        <v>0.8366400000000002</v>
      </c>
      <c r="X216" s="109">
        <v>0.46837</v>
      </c>
      <c r="Y216" s="109">
        <f>$X$216*$K$216</f>
        <v>9.3299304</v>
      </c>
      <c r="Z216" s="109">
        <v>0</v>
      </c>
      <c r="AA216" s="110">
        <f>$Z$216*$K$216</f>
        <v>0</v>
      </c>
      <c r="AC216" s="138"/>
      <c r="AD216" s="138"/>
      <c r="AE216" s="138"/>
      <c r="AF216" s="138"/>
      <c r="AG216" s="138"/>
      <c r="AH216" s="138"/>
      <c r="AI216" s="138"/>
      <c r="AJ216" s="138"/>
      <c r="AR216" s="6" t="s">
        <v>134</v>
      </c>
      <c r="AT216" s="6" t="s">
        <v>130</v>
      </c>
      <c r="AU216" s="6" t="s">
        <v>82</v>
      </c>
      <c r="AY216" s="6" t="s">
        <v>129</v>
      </c>
      <c r="BE216" s="111">
        <f>IF($U$216="základní",$N$216,0)</f>
        <v>0</v>
      </c>
      <c r="BF216" s="111">
        <f>IF($U$216="snížená",$N$216,0)</f>
        <v>0</v>
      </c>
      <c r="BG216" s="111">
        <f>IF($U$216="zákl. přenesená",$N$216,0)</f>
        <v>0</v>
      </c>
      <c r="BH216" s="111">
        <f>IF($U$216="sníž. přenesená",$N$216,0)</f>
        <v>0</v>
      </c>
      <c r="BI216" s="111">
        <f>IF($U$216="nulová",$N$216,0)</f>
        <v>0</v>
      </c>
      <c r="BJ216" s="6" t="s">
        <v>18</v>
      </c>
      <c r="BK216" s="112">
        <f>ROUND($L$216*$K$216,3)</f>
        <v>0</v>
      </c>
      <c r="BL216" s="6" t="s">
        <v>134</v>
      </c>
    </row>
    <row r="217" spans="2:64" s="6" customFormat="1" ht="27" customHeight="1">
      <c r="B217" s="19"/>
      <c r="C217" s="104">
        <v>63</v>
      </c>
      <c r="D217" s="104" t="s">
        <v>130</v>
      </c>
      <c r="E217" s="105" t="s">
        <v>246</v>
      </c>
      <c r="F217" s="223" t="s">
        <v>247</v>
      </c>
      <c r="G217" s="224"/>
      <c r="H217" s="224"/>
      <c r="I217" s="224"/>
      <c r="J217" s="106" t="s">
        <v>149</v>
      </c>
      <c r="K217" s="107">
        <v>19.92</v>
      </c>
      <c r="L217" s="225"/>
      <c r="M217" s="224"/>
      <c r="N217" s="225">
        <f>K217*L217</f>
        <v>0</v>
      </c>
      <c r="O217" s="224"/>
      <c r="P217" s="224"/>
      <c r="Q217" s="224"/>
      <c r="R217" s="20"/>
      <c r="T217" s="108"/>
      <c r="U217" s="26" t="s">
        <v>37</v>
      </c>
      <c r="V217" s="109">
        <v>0.032</v>
      </c>
      <c r="W217" s="109">
        <f>$V$217*$K$217</f>
        <v>0.6374400000000001</v>
      </c>
      <c r="X217" s="109">
        <v>0.44628</v>
      </c>
      <c r="Y217" s="109">
        <f>$X$217*$K$217</f>
        <v>8.889897600000001</v>
      </c>
      <c r="Z217" s="109">
        <v>0</v>
      </c>
      <c r="AA217" s="110">
        <f>$Z$217*$K$217</f>
        <v>0</v>
      </c>
      <c r="AC217" s="138"/>
      <c r="AD217" s="138"/>
      <c r="AE217" s="138"/>
      <c r="AF217" s="138"/>
      <c r="AG217" s="138"/>
      <c r="AH217" s="138"/>
      <c r="AI217" s="138"/>
      <c r="AJ217" s="138"/>
      <c r="AR217" s="6" t="s">
        <v>134</v>
      </c>
      <c r="AT217" s="6" t="s">
        <v>130</v>
      </c>
      <c r="AU217" s="6" t="s">
        <v>82</v>
      </c>
      <c r="AY217" s="6" t="s">
        <v>129</v>
      </c>
      <c r="BE217" s="111">
        <f>IF($U$217="základní",$N$217,0)</f>
        <v>0</v>
      </c>
      <c r="BF217" s="111">
        <f>IF($U$217="snížená",$N$217,0)</f>
        <v>0</v>
      </c>
      <c r="BG217" s="111">
        <f>IF($U$217="zákl. přenesená",$N$217,0)</f>
        <v>0</v>
      </c>
      <c r="BH217" s="111">
        <f>IF($U$217="sníž. přenesená",$N$217,0)</f>
        <v>0</v>
      </c>
      <c r="BI217" s="111">
        <f>IF($U$217="nulová",$N$217,0)</f>
        <v>0</v>
      </c>
      <c r="BJ217" s="6" t="s">
        <v>18</v>
      </c>
      <c r="BK217" s="112">
        <f>ROUND($L$217*$K$217,3)</f>
        <v>0</v>
      </c>
      <c r="BL217" s="6" t="s">
        <v>134</v>
      </c>
    </row>
    <row r="218" spans="2:64" s="6" customFormat="1" ht="27" customHeight="1">
      <c r="B218" s="19"/>
      <c r="C218" s="104">
        <v>64</v>
      </c>
      <c r="D218" s="104" t="s">
        <v>130</v>
      </c>
      <c r="E218" s="105" t="s">
        <v>215</v>
      </c>
      <c r="F218" s="223" t="s">
        <v>216</v>
      </c>
      <c r="G218" s="224"/>
      <c r="H218" s="224"/>
      <c r="I218" s="224"/>
      <c r="J218" s="106" t="s">
        <v>187</v>
      </c>
      <c r="K218" s="107">
        <v>23.506</v>
      </c>
      <c r="L218" s="225"/>
      <c r="M218" s="224"/>
      <c r="N218" s="225">
        <f>K218*L218</f>
        <v>0</v>
      </c>
      <c r="O218" s="224"/>
      <c r="P218" s="224"/>
      <c r="Q218" s="224"/>
      <c r="R218" s="20"/>
      <c r="T218" s="108"/>
      <c r="U218" s="26" t="s">
        <v>37</v>
      </c>
      <c r="V218" s="109">
        <v>0.39</v>
      </c>
      <c r="W218" s="109">
        <f>$V$218*$K$218</f>
        <v>9.167340000000001</v>
      </c>
      <c r="X218" s="109">
        <v>0</v>
      </c>
      <c r="Y218" s="109">
        <f>$X$218*$K$218</f>
        <v>0</v>
      </c>
      <c r="Z218" s="109">
        <v>0</v>
      </c>
      <c r="AA218" s="110">
        <f>$Z$218*$K$218</f>
        <v>0</v>
      </c>
      <c r="AC218" s="138"/>
      <c r="AD218" s="138"/>
      <c r="AE218" s="138"/>
      <c r="AF218" s="138"/>
      <c r="AG218" s="138"/>
      <c r="AH218" s="138"/>
      <c r="AI218" s="138"/>
      <c r="AJ218" s="138"/>
      <c r="AR218" s="6" t="s">
        <v>134</v>
      </c>
      <c r="AT218" s="6" t="s">
        <v>130</v>
      </c>
      <c r="AU218" s="6" t="s">
        <v>82</v>
      </c>
      <c r="AY218" s="6" t="s">
        <v>129</v>
      </c>
      <c r="BE218" s="111">
        <f>IF($U$218="základní",$N$218,0)</f>
        <v>0</v>
      </c>
      <c r="BF218" s="111">
        <f>IF($U$218="snížená",$N$218,0)</f>
        <v>0</v>
      </c>
      <c r="BG218" s="111">
        <f>IF($U$218="zákl. přenesená",$N$218,0)</f>
        <v>0</v>
      </c>
      <c r="BH218" s="111">
        <f>IF($U$218="sníž. přenesená",$N$218,0)</f>
        <v>0</v>
      </c>
      <c r="BI218" s="111">
        <f>IF($U$218="nulová",$N$218,0)</f>
        <v>0</v>
      </c>
      <c r="BJ218" s="6" t="s">
        <v>18</v>
      </c>
      <c r="BK218" s="112">
        <f>ROUND($L$218*$K$218,3)</f>
        <v>0</v>
      </c>
      <c r="BL218" s="6" t="s">
        <v>134</v>
      </c>
    </row>
    <row r="219" spans="2:63" s="94" customFormat="1" ht="30.75" customHeight="1">
      <c r="B219" s="95"/>
      <c r="D219" s="103" t="s">
        <v>323</v>
      </c>
      <c r="N219" s="229">
        <f>SUM(N220:Q227)</f>
        <v>0</v>
      </c>
      <c r="O219" s="228"/>
      <c r="P219" s="228"/>
      <c r="Q219" s="228"/>
      <c r="R219" s="98"/>
      <c r="T219" s="99"/>
      <c r="W219" s="100">
        <f>SUM($W$220:$W$227)</f>
        <v>460.9456542690001</v>
      </c>
      <c r="Y219" s="100">
        <f>SUM($Y$220:$Y$227)</f>
        <v>163.5821737</v>
      </c>
      <c r="AA219" s="101">
        <f>SUM($AA$220:$AA$227)</f>
        <v>0</v>
      </c>
      <c r="AC219" s="140"/>
      <c r="AD219" s="140"/>
      <c r="AE219" s="140"/>
      <c r="AF219" s="140"/>
      <c r="AG219" s="140"/>
      <c r="AH219" s="140"/>
      <c r="AI219" s="140"/>
      <c r="AJ219" s="140"/>
      <c r="AR219" s="97" t="s">
        <v>18</v>
      </c>
      <c r="AT219" s="97" t="s">
        <v>71</v>
      </c>
      <c r="AU219" s="97" t="s">
        <v>18</v>
      </c>
      <c r="AY219" s="97" t="s">
        <v>129</v>
      </c>
      <c r="BK219" s="102">
        <f>SUM($BK$220:$BK$227)</f>
        <v>0</v>
      </c>
    </row>
    <row r="220" spans="2:64" s="6" customFormat="1" ht="27" customHeight="1">
      <c r="B220" s="19"/>
      <c r="C220" s="104">
        <v>65</v>
      </c>
      <c r="D220" s="104" t="s">
        <v>130</v>
      </c>
      <c r="E220" s="105" t="s">
        <v>218</v>
      </c>
      <c r="F220" s="223" t="s">
        <v>325</v>
      </c>
      <c r="G220" s="224"/>
      <c r="H220" s="224"/>
      <c r="I220" s="224"/>
      <c r="J220" s="106" t="s">
        <v>149</v>
      </c>
      <c r="K220" s="107">
        <v>147.37</v>
      </c>
      <c r="L220" s="225"/>
      <c r="M220" s="224"/>
      <c r="N220" s="225">
        <f>K220*L220</f>
        <v>0</v>
      </c>
      <c r="O220" s="224"/>
      <c r="P220" s="224"/>
      <c r="Q220" s="224"/>
      <c r="R220" s="20"/>
      <c r="T220" s="108"/>
      <c r="U220" s="26" t="s">
        <v>37</v>
      </c>
      <c r="V220" s="109">
        <v>1.441</v>
      </c>
      <c r="W220" s="109">
        <f>$V$220*$K$220</f>
        <v>212.36017</v>
      </c>
      <c r="X220" s="109">
        <v>0.19536</v>
      </c>
      <c r="Y220" s="109">
        <f>$X$220*$K$220</f>
        <v>28.7902032</v>
      </c>
      <c r="Z220" s="109">
        <v>0</v>
      </c>
      <c r="AA220" s="110">
        <f>$Z$220*$K$220</f>
        <v>0</v>
      </c>
      <c r="AC220" s="138"/>
      <c r="AD220" s="138"/>
      <c r="AE220" s="138"/>
      <c r="AF220" s="138"/>
      <c r="AG220" s="138"/>
      <c r="AH220" s="138"/>
      <c r="AI220" s="138"/>
      <c r="AJ220" s="138"/>
      <c r="AR220" s="6" t="s">
        <v>248</v>
      </c>
      <c r="AT220" s="6" t="s">
        <v>130</v>
      </c>
      <c r="AU220" s="6" t="s">
        <v>82</v>
      </c>
      <c r="AY220" s="6" t="s">
        <v>129</v>
      </c>
      <c r="BE220" s="111">
        <f>IF($U$220="základní",$N$220,0)</f>
        <v>0</v>
      </c>
      <c r="BF220" s="111">
        <f>IF($U$220="snížená",$N$220,0)</f>
        <v>0</v>
      </c>
      <c r="BG220" s="111">
        <f>IF($U$220="zákl. přenesená",$N$220,0)</f>
        <v>0</v>
      </c>
      <c r="BH220" s="111">
        <f>IF($U$220="sníž. přenesená",$N$220,0)</f>
        <v>0</v>
      </c>
      <c r="BI220" s="111">
        <f>IF($U$220="nulová",$N$220,0)</f>
        <v>0</v>
      </c>
      <c r="BJ220" s="6" t="s">
        <v>18</v>
      </c>
      <c r="BK220" s="112">
        <f>ROUND($L$220*$K$220,3)</f>
        <v>0</v>
      </c>
      <c r="BL220" s="6" t="s">
        <v>248</v>
      </c>
    </row>
    <row r="221" spans="2:64" s="6" customFormat="1" ht="29.25" customHeight="1">
      <c r="B221" s="19"/>
      <c r="C221" s="125">
        <v>66</v>
      </c>
      <c r="D221" s="125" t="s">
        <v>212</v>
      </c>
      <c r="E221" s="126" t="s">
        <v>217</v>
      </c>
      <c r="F221" s="234" t="s">
        <v>332</v>
      </c>
      <c r="G221" s="235"/>
      <c r="H221" s="235"/>
      <c r="I221" s="235"/>
      <c r="J221" s="127" t="s">
        <v>187</v>
      </c>
      <c r="K221" s="128">
        <f>K222</f>
        <v>0</v>
      </c>
      <c r="L221" s="236"/>
      <c r="M221" s="235"/>
      <c r="N221" s="236">
        <f>ROUND($L$221*$K$221,3)</f>
        <v>0</v>
      </c>
      <c r="O221" s="224"/>
      <c r="P221" s="224"/>
      <c r="Q221" s="224"/>
      <c r="R221" s="20"/>
      <c r="T221" s="108"/>
      <c r="U221" s="26" t="s">
        <v>37</v>
      </c>
      <c r="V221" s="109">
        <v>0</v>
      </c>
      <c r="W221" s="109">
        <f>$V$221*$K$221</f>
        <v>0</v>
      </c>
      <c r="X221" s="109">
        <v>1</v>
      </c>
      <c r="Y221" s="109">
        <f>$X$221*$K$221</f>
        <v>0</v>
      </c>
      <c r="Z221" s="109">
        <v>0</v>
      </c>
      <c r="AA221" s="110">
        <f>$Z$221*$K$221</f>
        <v>0</v>
      </c>
      <c r="AC221" s="138"/>
      <c r="AD221" s="138"/>
      <c r="AE221" s="138"/>
      <c r="AF221" s="138"/>
      <c r="AG221" s="138"/>
      <c r="AH221" s="138"/>
      <c r="AI221" s="138"/>
      <c r="AJ221" s="138"/>
      <c r="AR221" s="6" t="s">
        <v>153</v>
      </c>
      <c r="AT221" s="6" t="s">
        <v>212</v>
      </c>
      <c r="AU221" s="6" t="s">
        <v>82</v>
      </c>
      <c r="AY221" s="6" t="s">
        <v>129</v>
      </c>
      <c r="BE221" s="111">
        <f>IF($U$221="základní",$N$221,0)</f>
        <v>0</v>
      </c>
      <c r="BF221" s="111">
        <f>IF($U$221="snížená",$N$221,0)</f>
        <v>0</v>
      </c>
      <c r="BG221" s="111">
        <f>IF($U$221="zákl. přenesená",$N$221,0)</f>
        <v>0</v>
      </c>
      <c r="BH221" s="111">
        <f>IF($U$221="sníž. přenesená",$N$221,0)</f>
        <v>0</v>
      </c>
      <c r="BI221" s="111">
        <f>IF($U$221="nulová",$N$221,0)</f>
        <v>0</v>
      </c>
      <c r="BJ221" s="6" t="s">
        <v>18</v>
      </c>
      <c r="BK221" s="112">
        <f>ROUND($L$221*$K$221,3)</f>
        <v>0</v>
      </c>
      <c r="BL221" s="6" t="s">
        <v>134</v>
      </c>
    </row>
    <row r="222" spans="2:51" s="6" customFormat="1" ht="15.75" customHeight="1">
      <c r="B222" s="113"/>
      <c r="E222" s="114"/>
      <c r="F222" s="230" t="s">
        <v>319</v>
      </c>
      <c r="G222" s="231"/>
      <c r="H222" s="231"/>
      <c r="I222" s="231"/>
      <c r="K222" s="115"/>
      <c r="R222" s="116"/>
      <c r="T222" s="117"/>
      <c r="AA222" s="118"/>
      <c r="AC222" s="138"/>
      <c r="AD222" s="138"/>
      <c r="AE222" s="138"/>
      <c r="AF222" s="138"/>
      <c r="AG222" s="138"/>
      <c r="AH222" s="138"/>
      <c r="AI222" s="138"/>
      <c r="AJ222" s="138"/>
      <c r="AT222" s="114" t="s">
        <v>142</v>
      </c>
      <c r="AU222" s="114" t="s">
        <v>82</v>
      </c>
      <c r="AV222" s="114" t="s">
        <v>82</v>
      </c>
      <c r="AW222" s="114" t="s">
        <v>90</v>
      </c>
      <c r="AX222" s="114" t="s">
        <v>18</v>
      </c>
      <c r="AY222" s="114" t="s">
        <v>129</v>
      </c>
    </row>
    <row r="223" spans="2:64" s="6" customFormat="1" ht="15.75" customHeight="1">
      <c r="B223" s="19"/>
      <c r="C223" s="104">
        <v>67</v>
      </c>
      <c r="D223" s="104" t="s">
        <v>130</v>
      </c>
      <c r="E223" s="105" t="s">
        <v>192</v>
      </c>
      <c r="F223" s="223" t="s">
        <v>331</v>
      </c>
      <c r="G223" s="224"/>
      <c r="H223" s="224"/>
      <c r="I223" s="224"/>
      <c r="J223" s="106" t="s">
        <v>187</v>
      </c>
      <c r="K223" s="107">
        <v>49.123</v>
      </c>
      <c r="L223" s="225"/>
      <c r="M223" s="224"/>
      <c r="N223" s="225">
        <f>K223*L223</f>
        <v>0</v>
      </c>
      <c r="O223" s="224"/>
      <c r="P223" s="224"/>
      <c r="Q223" s="224"/>
      <c r="R223" s="20"/>
      <c r="T223" s="108"/>
      <c r="U223" s="26" t="s">
        <v>37</v>
      </c>
      <c r="V223" s="109">
        <v>0.136</v>
      </c>
      <c r="W223" s="109">
        <f>$V$156*$K$156</f>
        <v>103.09956000000001</v>
      </c>
      <c r="X223" s="109">
        <v>0</v>
      </c>
      <c r="Y223" s="109">
        <f>$X$156*$K$156</f>
        <v>0</v>
      </c>
      <c r="Z223" s="109">
        <v>0</v>
      </c>
      <c r="AA223" s="110">
        <f>$Z$156*$K$156</f>
        <v>0</v>
      </c>
      <c r="AC223" s="142"/>
      <c r="AD223" s="138"/>
      <c r="AE223" s="144"/>
      <c r="AF223" s="138"/>
      <c r="AG223" s="138"/>
      <c r="AH223" s="138"/>
      <c r="AI223" s="138"/>
      <c r="AJ223" s="138"/>
      <c r="AR223" s="6" t="s">
        <v>134</v>
      </c>
      <c r="AT223" s="6" t="s">
        <v>130</v>
      </c>
      <c r="AU223" s="6" t="s">
        <v>82</v>
      </c>
      <c r="AY223" s="6" t="s">
        <v>129</v>
      </c>
      <c r="BE223" s="111">
        <f>IF($U$156="základní",$N$156,0)</f>
        <v>0</v>
      </c>
      <c r="BF223" s="111">
        <f>IF($U$156="snížená",$N$156,0)</f>
        <v>0</v>
      </c>
      <c r="BG223" s="111">
        <f>IF($U$156="zákl. přenesená",$N$156,0)</f>
        <v>0</v>
      </c>
      <c r="BH223" s="111">
        <f>IF($U$156="sníž. přenesená",$N$156,0)</f>
        <v>0</v>
      </c>
      <c r="BI223" s="111">
        <f>IF($U$156="nulová",$N$156,0)</f>
        <v>0</v>
      </c>
      <c r="BJ223" s="6" t="s">
        <v>18</v>
      </c>
      <c r="BK223" s="112">
        <f>ROUND($L$156*$K$156,3)</f>
        <v>0</v>
      </c>
      <c r="BL223" s="6" t="s">
        <v>134</v>
      </c>
    </row>
    <row r="224" spans="2:64" s="6" customFormat="1" ht="27" customHeight="1">
      <c r="B224" s="19"/>
      <c r="C224" s="104">
        <v>68</v>
      </c>
      <c r="D224" s="104" t="s">
        <v>130</v>
      </c>
      <c r="E224" s="105" t="s">
        <v>185</v>
      </c>
      <c r="F224" s="223" t="s">
        <v>328</v>
      </c>
      <c r="G224" s="224"/>
      <c r="H224" s="224"/>
      <c r="I224" s="224"/>
      <c r="J224" s="106" t="s">
        <v>187</v>
      </c>
      <c r="K224" s="107">
        <f>K223</f>
        <v>49.123</v>
      </c>
      <c r="L224" s="225"/>
      <c r="M224" s="224"/>
      <c r="N224" s="225">
        <f>K224*L224</f>
        <v>0</v>
      </c>
      <c r="O224" s="224"/>
      <c r="P224" s="224"/>
      <c r="Q224" s="224"/>
      <c r="R224" s="20"/>
      <c r="T224" s="108"/>
      <c r="U224" s="26" t="s">
        <v>37</v>
      </c>
      <c r="V224" s="109">
        <v>0.125</v>
      </c>
      <c r="W224" s="109">
        <f>$V$154*$K$154</f>
        <v>94.760625</v>
      </c>
      <c r="X224" s="109">
        <v>0</v>
      </c>
      <c r="Y224" s="109">
        <f>$X$154*$K$154</f>
        <v>0</v>
      </c>
      <c r="Z224" s="109">
        <v>0</v>
      </c>
      <c r="AA224" s="110">
        <f>$Z$154*$K$154</f>
        <v>0</v>
      </c>
      <c r="AC224" s="143"/>
      <c r="AD224" s="138"/>
      <c r="AE224" s="138"/>
      <c r="AF224" s="138"/>
      <c r="AG224" s="138"/>
      <c r="AH224" s="138"/>
      <c r="AI224" s="138"/>
      <c r="AJ224" s="138"/>
      <c r="AR224" s="6" t="s">
        <v>134</v>
      </c>
      <c r="AT224" s="6" t="s">
        <v>130</v>
      </c>
      <c r="AU224" s="6" t="s">
        <v>82</v>
      </c>
      <c r="AY224" s="6" t="s">
        <v>129</v>
      </c>
      <c r="BE224" s="111">
        <f>IF($U$154="základní",$N$154,0)</f>
        <v>0</v>
      </c>
      <c r="BF224" s="111">
        <f>IF($U$154="snížená",$N$154,0)</f>
        <v>0</v>
      </c>
      <c r="BG224" s="111">
        <f>IF($U$154="zákl. přenesená",$N$154,0)</f>
        <v>0</v>
      </c>
      <c r="BH224" s="111">
        <f>IF($U$154="sníž. přenesená",$N$154,0)</f>
        <v>0</v>
      </c>
      <c r="BI224" s="111">
        <f>IF($U$154="nulová",$N$154,0)</f>
        <v>0</v>
      </c>
      <c r="BJ224" s="6" t="s">
        <v>18</v>
      </c>
      <c r="BK224" s="112">
        <f>ROUND($L$154*$K$154,3)</f>
        <v>0</v>
      </c>
      <c r="BL224" s="6" t="s">
        <v>134</v>
      </c>
    </row>
    <row r="225" spans="2:64" s="6" customFormat="1" ht="27" customHeight="1">
      <c r="B225" s="19"/>
      <c r="C225" s="104">
        <v>69</v>
      </c>
      <c r="D225" s="104" t="s">
        <v>130</v>
      </c>
      <c r="E225" s="105" t="s">
        <v>244</v>
      </c>
      <c r="F225" s="223" t="s">
        <v>245</v>
      </c>
      <c r="G225" s="224"/>
      <c r="H225" s="224"/>
      <c r="I225" s="224"/>
      <c r="J225" s="106" t="s">
        <v>149</v>
      </c>
      <c r="K225" s="107">
        <v>147.37</v>
      </c>
      <c r="L225" s="225"/>
      <c r="M225" s="224"/>
      <c r="N225" s="225">
        <f>K225*L225</f>
        <v>0</v>
      </c>
      <c r="O225" s="224"/>
      <c r="P225" s="224"/>
      <c r="Q225" s="224"/>
      <c r="R225" s="20"/>
      <c r="T225" s="108"/>
      <c r="U225" s="26" t="s">
        <v>37</v>
      </c>
      <c r="V225" s="109">
        <v>0.042</v>
      </c>
      <c r="W225" s="109">
        <f>$V$225*$K$225</f>
        <v>6.189540000000001</v>
      </c>
      <c r="X225" s="109">
        <v>0.46837</v>
      </c>
      <c r="Y225" s="109">
        <f>$X$225*$K$225</f>
        <v>69.0236869</v>
      </c>
      <c r="Z225" s="109">
        <v>0</v>
      </c>
      <c r="AA225" s="110">
        <f>$Z$225*$K$225</f>
        <v>0</v>
      </c>
      <c r="AC225" s="138"/>
      <c r="AD225" s="138"/>
      <c r="AE225" s="138"/>
      <c r="AF225" s="138"/>
      <c r="AG225" s="138"/>
      <c r="AH225" s="138"/>
      <c r="AI225" s="138"/>
      <c r="AJ225" s="138"/>
      <c r="AR225" s="6" t="s">
        <v>134</v>
      </c>
      <c r="AT225" s="6" t="s">
        <v>130</v>
      </c>
      <c r="AU225" s="6" t="s">
        <v>82</v>
      </c>
      <c r="AY225" s="6" t="s">
        <v>129</v>
      </c>
      <c r="BE225" s="111">
        <f>IF($U$225="základní",$N$225,0)</f>
        <v>0</v>
      </c>
      <c r="BF225" s="111">
        <f>IF($U$225="snížená",$N$225,0)</f>
        <v>0</v>
      </c>
      <c r="BG225" s="111">
        <f>IF($U$225="zákl. přenesená",$N$225,0)</f>
        <v>0</v>
      </c>
      <c r="BH225" s="111">
        <f>IF($U$225="sníž. přenesená",$N$225,0)</f>
        <v>0</v>
      </c>
      <c r="BI225" s="111">
        <f>IF($U$225="nulová",$N$225,0)</f>
        <v>0</v>
      </c>
      <c r="BJ225" s="6" t="s">
        <v>18</v>
      </c>
      <c r="BK225" s="112">
        <f>ROUND($L$225*$K$225,3)</f>
        <v>0</v>
      </c>
      <c r="BL225" s="6" t="s">
        <v>134</v>
      </c>
    </row>
    <row r="226" spans="2:64" s="6" customFormat="1" ht="27" customHeight="1">
      <c r="B226" s="19"/>
      <c r="C226" s="104">
        <v>70</v>
      </c>
      <c r="D226" s="104" t="s">
        <v>130</v>
      </c>
      <c r="E226" s="105" t="s">
        <v>246</v>
      </c>
      <c r="F226" s="223" t="s">
        <v>247</v>
      </c>
      <c r="G226" s="224"/>
      <c r="H226" s="224"/>
      <c r="I226" s="224"/>
      <c r="J226" s="106" t="s">
        <v>149</v>
      </c>
      <c r="K226" s="107">
        <v>147.37</v>
      </c>
      <c r="L226" s="225"/>
      <c r="M226" s="224"/>
      <c r="N226" s="225">
        <f>K226*L226</f>
        <v>0</v>
      </c>
      <c r="O226" s="224"/>
      <c r="P226" s="224"/>
      <c r="Q226" s="224"/>
      <c r="R226" s="20"/>
      <c r="T226" s="108"/>
      <c r="U226" s="26" t="s">
        <v>37</v>
      </c>
      <c r="V226" s="109">
        <v>0.032</v>
      </c>
      <c r="W226" s="109">
        <f>$V$226*$K$226</f>
        <v>4.71584</v>
      </c>
      <c r="X226" s="109">
        <v>0.44628</v>
      </c>
      <c r="Y226" s="109">
        <f>$X$226*$K$226</f>
        <v>65.7682836</v>
      </c>
      <c r="Z226" s="109">
        <v>0</v>
      </c>
      <c r="AA226" s="110">
        <f>$Z$226*$K$226</f>
        <v>0</v>
      </c>
      <c r="AC226" s="138"/>
      <c r="AD226" s="138"/>
      <c r="AE226" s="138"/>
      <c r="AF226" s="138"/>
      <c r="AG226" s="138"/>
      <c r="AH226" s="138"/>
      <c r="AI226" s="138"/>
      <c r="AJ226" s="138"/>
      <c r="AR226" s="6" t="s">
        <v>134</v>
      </c>
      <c r="AT226" s="6" t="s">
        <v>130</v>
      </c>
      <c r="AU226" s="6" t="s">
        <v>82</v>
      </c>
      <c r="AY226" s="6" t="s">
        <v>129</v>
      </c>
      <c r="BE226" s="111">
        <f>IF($U$226="základní",$N$226,0)</f>
        <v>0</v>
      </c>
      <c r="BF226" s="111">
        <f>IF($U$226="snížená",$N$226,0)</f>
        <v>0</v>
      </c>
      <c r="BG226" s="111">
        <f>IF($U$226="zákl. přenesená",$N$226,0)</f>
        <v>0</v>
      </c>
      <c r="BH226" s="111">
        <f>IF($U$226="sníž. přenesená",$N$226,0)</f>
        <v>0</v>
      </c>
      <c r="BI226" s="111">
        <f>IF($U$226="nulová",$N$226,0)</f>
        <v>0</v>
      </c>
      <c r="BJ226" s="6" t="s">
        <v>18</v>
      </c>
      <c r="BK226" s="112">
        <f>ROUND($L$226*$K$226,3)</f>
        <v>0</v>
      </c>
      <c r="BL226" s="6" t="s">
        <v>134</v>
      </c>
    </row>
    <row r="227" spans="2:64" s="6" customFormat="1" ht="27" customHeight="1">
      <c r="B227" s="19"/>
      <c r="C227" s="104">
        <v>71</v>
      </c>
      <c r="D227" s="104" t="s">
        <v>130</v>
      </c>
      <c r="E227" s="105" t="s">
        <v>215</v>
      </c>
      <c r="F227" s="223" t="s">
        <v>216</v>
      </c>
      <c r="G227" s="224"/>
      <c r="H227" s="224"/>
      <c r="I227" s="224"/>
      <c r="J227" s="106" t="s">
        <v>187</v>
      </c>
      <c r="K227" s="107">
        <f>K220*0.69283</f>
        <v>102.10235709999999</v>
      </c>
      <c r="L227" s="225"/>
      <c r="M227" s="224"/>
      <c r="N227" s="225">
        <f>K227*L227</f>
        <v>0</v>
      </c>
      <c r="O227" s="224"/>
      <c r="P227" s="224"/>
      <c r="Q227" s="224"/>
      <c r="R227" s="20"/>
      <c r="T227" s="108"/>
      <c r="U227" s="26" t="s">
        <v>37</v>
      </c>
      <c r="V227" s="109">
        <v>0.39</v>
      </c>
      <c r="W227" s="109">
        <f>$V$227*$K$227</f>
        <v>39.819919268999996</v>
      </c>
      <c r="X227" s="109">
        <v>0</v>
      </c>
      <c r="Y227" s="109">
        <f>$X$227*$K$227</f>
        <v>0</v>
      </c>
      <c r="Z227" s="109">
        <v>0</v>
      </c>
      <c r="AA227" s="110">
        <f>$Z$227*$K$227</f>
        <v>0</v>
      </c>
      <c r="AC227" s="138"/>
      <c r="AD227" s="138"/>
      <c r="AE227" s="138"/>
      <c r="AF227" s="138"/>
      <c r="AG227" s="138"/>
      <c r="AH227" s="138"/>
      <c r="AI227" s="138"/>
      <c r="AJ227" s="138"/>
      <c r="AR227" s="6" t="s">
        <v>134</v>
      </c>
      <c r="AT227" s="6" t="s">
        <v>130</v>
      </c>
      <c r="AU227" s="6" t="s">
        <v>82</v>
      </c>
      <c r="AY227" s="6" t="s">
        <v>129</v>
      </c>
      <c r="BE227" s="111">
        <f>IF($U$227="základní",$N$227,0)</f>
        <v>0</v>
      </c>
      <c r="BF227" s="111">
        <f>IF($U$227="snížená",$N$227,0)</f>
        <v>0</v>
      </c>
      <c r="BG227" s="111">
        <f>IF($U$227="zákl. přenesená",$N$227,0)</f>
        <v>0</v>
      </c>
      <c r="BH227" s="111">
        <f>IF($U$227="sníž. přenesená",$N$227,0)</f>
        <v>0</v>
      </c>
      <c r="BI227" s="111">
        <f>IF($U$227="nulová",$N$227,0)</f>
        <v>0</v>
      </c>
      <c r="BJ227" s="6" t="s">
        <v>18</v>
      </c>
      <c r="BK227" s="112">
        <f>ROUND($L$227*$K$227,3)</f>
        <v>0</v>
      </c>
      <c r="BL227" s="6" t="s">
        <v>134</v>
      </c>
    </row>
    <row r="228" spans="2:63" s="94" customFormat="1" ht="30.75" customHeight="1">
      <c r="B228" s="95"/>
      <c r="D228" s="103" t="s">
        <v>104</v>
      </c>
      <c r="N228" s="229">
        <f>SUM(N229:Q233)</f>
        <v>0</v>
      </c>
      <c r="O228" s="228"/>
      <c r="P228" s="228"/>
      <c r="Q228" s="228"/>
      <c r="R228" s="98"/>
      <c r="T228" s="99"/>
      <c r="W228" s="100">
        <f>SUM($W$229:$W$233)</f>
        <v>79.38265005</v>
      </c>
      <c r="Y228" s="100">
        <f>SUM($Y$229:$Y$233)</f>
        <v>49.131397500000006</v>
      </c>
      <c r="AA228" s="101">
        <f>SUM($AA$229:$AA$233)</f>
        <v>0</v>
      </c>
      <c r="AC228" s="140"/>
      <c r="AD228" s="140"/>
      <c r="AE228" s="140"/>
      <c r="AF228" s="140"/>
      <c r="AG228" s="140"/>
      <c r="AH228" s="140"/>
      <c r="AI228" s="140"/>
      <c r="AJ228" s="140"/>
      <c r="AR228" s="97" t="s">
        <v>18</v>
      </c>
      <c r="AT228" s="97" t="s">
        <v>71</v>
      </c>
      <c r="AU228" s="97" t="s">
        <v>18</v>
      </c>
      <c r="AY228" s="97" t="s">
        <v>129</v>
      </c>
      <c r="BK228" s="102">
        <f>SUM($BK$229:$BK$233)</f>
        <v>0</v>
      </c>
    </row>
    <row r="229" spans="2:64" s="6" customFormat="1" ht="27" customHeight="1">
      <c r="B229" s="19"/>
      <c r="C229" s="104">
        <v>72</v>
      </c>
      <c r="D229" s="104" t="s">
        <v>130</v>
      </c>
      <c r="E229" s="105" t="s">
        <v>218</v>
      </c>
      <c r="F229" s="223" t="s">
        <v>308</v>
      </c>
      <c r="G229" s="224"/>
      <c r="H229" s="224"/>
      <c r="I229" s="224"/>
      <c r="J229" s="106" t="s">
        <v>149</v>
      </c>
      <c r="K229" s="107">
        <f>37.95+1.8</f>
        <v>39.75</v>
      </c>
      <c r="L229" s="225"/>
      <c r="M229" s="224"/>
      <c r="N229" s="225">
        <f>K229*L229</f>
        <v>0</v>
      </c>
      <c r="O229" s="224"/>
      <c r="P229" s="224"/>
      <c r="Q229" s="224"/>
      <c r="R229" s="20"/>
      <c r="T229" s="108"/>
      <c r="U229" s="26" t="s">
        <v>37</v>
      </c>
      <c r="V229" s="109">
        <v>1.441</v>
      </c>
      <c r="W229" s="109">
        <f>$V$229*$K$229</f>
        <v>57.27975</v>
      </c>
      <c r="X229" s="109">
        <v>0.19536</v>
      </c>
      <c r="Y229" s="109">
        <f>$X$229*$K$229</f>
        <v>7.76556</v>
      </c>
      <c r="Z229" s="109">
        <v>0</v>
      </c>
      <c r="AA229" s="110">
        <f>$Z$229*$K$229</f>
        <v>0</v>
      </c>
      <c r="AC229" s="138"/>
      <c r="AD229" s="138"/>
      <c r="AE229" s="138"/>
      <c r="AF229" s="138"/>
      <c r="AG229" s="138"/>
      <c r="AH229" s="138"/>
      <c r="AI229" s="138"/>
      <c r="AJ229" s="138"/>
      <c r="AR229" s="6" t="s">
        <v>134</v>
      </c>
      <c r="AT229" s="6" t="s">
        <v>130</v>
      </c>
      <c r="AU229" s="6" t="s">
        <v>82</v>
      </c>
      <c r="AY229" s="6" t="s">
        <v>129</v>
      </c>
      <c r="BE229" s="111">
        <f>IF($U$229="základní",$N$229,0)</f>
        <v>0</v>
      </c>
      <c r="BF229" s="111">
        <f>IF($U$229="snížená",$N$229,0)</f>
        <v>0</v>
      </c>
      <c r="BG229" s="111">
        <f>IF($U$229="zákl. přenesená",$N$229,0)</f>
        <v>0</v>
      </c>
      <c r="BH229" s="111">
        <f>IF($U$229="sníž. přenesená",$N$229,0)</f>
        <v>0</v>
      </c>
      <c r="BI229" s="111">
        <f>IF($U$229="nulová",$N$229,0)</f>
        <v>0</v>
      </c>
      <c r="BJ229" s="6" t="s">
        <v>18</v>
      </c>
      <c r="BK229" s="112">
        <f>ROUND($L$229*$K$229,3)</f>
        <v>0</v>
      </c>
      <c r="BL229" s="6" t="s">
        <v>134</v>
      </c>
    </row>
    <row r="230" spans="2:64" s="6" customFormat="1" ht="15.75" customHeight="1">
      <c r="B230" s="19"/>
      <c r="C230" s="125">
        <v>73</v>
      </c>
      <c r="D230" s="125" t="s">
        <v>212</v>
      </c>
      <c r="E230" s="126" t="s">
        <v>249</v>
      </c>
      <c r="F230" s="234" t="s">
        <v>321</v>
      </c>
      <c r="G230" s="235"/>
      <c r="H230" s="235"/>
      <c r="I230" s="235"/>
      <c r="J230" s="127" t="s">
        <v>149</v>
      </c>
      <c r="K230" s="128">
        <v>39.75</v>
      </c>
      <c r="L230" s="236"/>
      <c r="M230" s="235"/>
      <c r="N230" s="236">
        <f>K230*L230</f>
        <v>0</v>
      </c>
      <c r="O230" s="224"/>
      <c r="P230" s="224"/>
      <c r="Q230" s="224"/>
      <c r="R230" s="20"/>
      <c r="T230" s="108"/>
      <c r="U230" s="26" t="s">
        <v>37</v>
      </c>
      <c r="V230" s="109">
        <v>0</v>
      </c>
      <c r="W230" s="109">
        <f>$V$230*$K$230</f>
        <v>0</v>
      </c>
      <c r="X230" s="109">
        <v>0.126</v>
      </c>
      <c r="Y230" s="109">
        <f>$X$230*$K$230</f>
        <v>5.0085</v>
      </c>
      <c r="Z230" s="109">
        <v>0</v>
      </c>
      <c r="AA230" s="110">
        <f>$Z$230*$K$230</f>
        <v>0</v>
      </c>
      <c r="AC230" s="138"/>
      <c r="AD230" s="138"/>
      <c r="AE230" s="138"/>
      <c r="AF230" s="138"/>
      <c r="AG230" s="138"/>
      <c r="AH230" s="138"/>
      <c r="AI230" s="138"/>
      <c r="AJ230" s="138"/>
      <c r="AR230" s="6" t="s">
        <v>153</v>
      </c>
      <c r="AT230" s="6" t="s">
        <v>212</v>
      </c>
      <c r="AU230" s="6" t="s">
        <v>82</v>
      </c>
      <c r="AY230" s="6" t="s">
        <v>129</v>
      </c>
      <c r="BE230" s="111">
        <f>IF($U$230="základní",$N$230,0)</f>
        <v>0</v>
      </c>
      <c r="BF230" s="111">
        <f>IF($U$230="snížená",$N$230,0)</f>
        <v>0</v>
      </c>
      <c r="BG230" s="111">
        <f>IF($U$230="zákl. přenesená",$N$230,0)</f>
        <v>0</v>
      </c>
      <c r="BH230" s="111">
        <f>IF($U$230="sníž. přenesená",$N$230,0)</f>
        <v>0</v>
      </c>
      <c r="BI230" s="111">
        <f>IF($U$230="nulová",$N$230,0)</f>
        <v>0</v>
      </c>
      <c r="BJ230" s="6" t="s">
        <v>18</v>
      </c>
      <c r="BK230" s="112">
        <f>ROUND($L$230*$K$230,3)</f>
        <v>0</v>
      </c>
      <c r="BL230" s="6" t="s">
        <v>134</v>
      </c>
    </row>
    <row r="231" spans="2:64" s="6" customFormat="1" ht="27" customHeight="1">
      <c r="B231" s="19"/>
      <c r="C231" s="104">
        <v>74</v>
      </c>
      <c r="D231" s="104" t="s">
        <v>130</v>
      </c>
      <c r="E231" s="105" t="s">
        <v>244</v>
      </c>
      <c r="F231" s="223" t="s">
        <v>245</v>
      </c>
      <c r="G231" s="224"/>
      <c r="H231" s="224"/>
      <c r="I231" s="224"/>
      <c r="J231" s="106" t="s">
        <v>149</v>
      </c>
      <c r="K231" s="107">
        <v>39.75</v>
      </c>
      <c r="L231" s="225"/>
      <c r="M231" s="224"/>
      <c r="N231" s="225">
        <f>K231*L231</f>
        <v>0</v>
      </c>
      <c r="O231" s="224"/>
      <c r="P231" s="224"/>
      <c r="Q231" s="224"/>
      <c r="R231" s="20"/>
      <c r="T231" s="108"/>
      <c r="U231" s="26" t="s">
        <v>37</v>
      </c>
      <c r="V231" s="109">
        <v>0.042</v>
      </c>
      <c r="W231" s="109">
        <f>$V$231*$K$231</f>
        <v>1.6695000000000002</v>
      </c>
      <c r="X231" s="109">
        <v>0.46837</v>
      </c>
      <c r="Y231" s="109">
        <f>$X$231*$K$231</f>
        <v>18.6177075</v>
      </c>
      <c r="Z231" s="109">
        <v>0</v>
      </c>
      <c r="AA231" s="110">
        <f>$Z$231*$K$231</f>
        <v>0</v>
      </c>
      <c r="AC231" s="138"/>
      <c r="AD231" s="138"/>
      <c r="AE231" s="138"/>
      <c r="AF231" s="138"/>
      <c r="AG231" s="138"/>
      <c r="AH231" s="138"/>
      <c r="AI231" s="138"/>
      <c r="AJ231" s="138"/>
      <c r="AR231" s="6" t="s">
        <v>134</v>
      </c>
      <c r="AT231" s="6" t="s">
        <v>130</v>
      </c>
      <c r="AU231" s="6" t="s">
        <v>82</v>
      </c>
      <c r="AY231" s="6" t="s">
        <v>129</v>
      </c>
      <c r="BE231" s="111">
        <f>IF($U$231="základní",$N$231,0)</f>
        <v>0</v>
      </c>
      <c r="BF231" s="111">
        <f>IF($U$231="snížená",$N$231,0)</f>
        <v>0</v>
      </c>
      <c r="BG231" s="111">
        <f>IF($U$231="zákl. přenesená",$N$231,0)</f>
        <v>0</v>
      </c>
      <c r="BH231" s="111">
        <f>IF($U$231="sníž. přenesená",$N$231,0)</f>
        <v>0</v>
      </c>
      <c r="BI231" s="111">
        <f>IF($U$231="nulová",$N$231,0)</f>
        <v>0</v>
      </c>
      <c r="BJ231" s="6" t="s">
        <v>18</v>
      </c>
      <c r="BK231" s="112">
        <f>ROUND($L$231*$K$231,3)</f>
        <v>0</v>
      </c>
      <c r="BL231" s="6" t="s">
        <v>134</v>
      </c>
    </row>
    <row r="232" spans="2:64" s="6" customFormat="1" ht="27" customHeight="1">
      <c r="B232" s="19"/>
      <c r="C232" s="104">
        <v>75</v>
      </c>
      <c r="D232" s="104" t="s">
        <v>130</v>
      </c>
      <c r="E232" s="105" t="s">
        <v>246</v>
      </c>
      <c r="F232" s="223" t="s">
        <v>247</v>
      </c>
      <c r="G232" s="224"/>
      <c r="H232" s="224"/>
      <c r="I232" s="224"/>
      <c r="J232" s="106" t="s">
        <v>149</v>
      </c>
      <c r="K232" s="107">
        <v>39.75</v>
      </c>
      <c r="L232" s="225"/>
      <c r="M232" s="224"/>
      <c r="N232" s="225">
        <f>K232*L232</f>
        <v>0</v>
      </c>
      <c r="O232" s="224"/>
      <c r="P232" s="224"/>
      <c r="Q232" s="224"/>
      <c r="R232" s="20"/>
      <c r="T232" s="108"/>
      <c r="U232" s="26" t="s">
        <v>37</v>
      </c>
      <c r="V232" s="109">
        <v>0.032</v>
      </c>
      <c r="W232" s="109">
        <f>$V$232*$K$232</f>
        <v>1.272</v>
      </c>
      <c r="X232" s="109">
        <v>0.44628</v>
      </c>
      <c r="Y232" s="109">
        <f>$X$232*$K$232</f>
        <v>17.739630000000002</v>
      </c>
      <c r="Z232" s="109">
        <v>0</v>
      </c>
      <c r="AA232" s="110">
        <f>$Z$232*$K$232</f>
        <v>0</v>
      </c>
      <c r="AC232" s="138"/>
      <c r="AD232" s="138"/>
      <c r="AE232" s="138"/>
      <c r="AF232" s="138"/>
      <c r="AG232" s="138"/>
      <c r="AH232" s="138"/>
      <c r="AI232" s="138"/>
      <c r="AJ232" s="138"/>
      <c r="AR232" s="6" t="s">
        <v>134</v>
      </c>
      <c r="AT232" s="6" t="s">
        <v>130</v>
      </c>
      <c r="AU232" s="6" t="s">
        <v>82</v>
      </c>
      <c r="AY232" s="6" t="s">
        <v>129</v>
      </c>
      <c r="BE232" s="111">
        <f>IF($U$232="základní",$N$232,0)</f>
        <v>0</v>
      </c>
      <c r="BF232" s="111">
        <f>IF($U$232="snížená",$N$232,0)</f>
        <v>0</v>
      </c>
      <c r="BG232" s="111">
        <f>IF($U$232="zákl. přenesená",$N$232,0)</f>
        <v>0</v>
      </c>
      <c r="BH232" s="111">
        <f>IF($U$232="sníž. přenesená",$N$232,0)</f>
        <v>0</v>
      </c>
      <c r="BI232" s="111">
        <f>IF($U$232="nulová",$N$232,0)</f>
        <v>0</v>
      </c>
      <c r="BJ232" s="6" t="s">
        <v>18</v>
      </c>
      <c r="BK232" s="112">
        <f>ROUND($L$232*$K$232,3)</f>
        <v>0</v>
      </c>
      <c r="BL232" s="6" t="s">
        <v>134</v>
      </c>
    </row>
    <row r="233" spans="2:64" s="6" customFormat="1" ht="27" customHeight="1">
      <c r="B233" s="19"/>
      <c r="C233" s="104">
        <v>76</v>
      </c>
      <c r="D233" s="104" t="s">
        <v>130</v>
      </c>
      <c r="E233" s="105" t="s">
        <v>215</v>
      </c>
      <c r="F233" s="223" t="s">
        <v>216</v>
      </c>
      <c r="G233" s="224"/>
      <c r="H233" s="224"/>
      <c r="I233" s="224"/>
      <c r="J233" s="106" t="s">
        <v>187</v>
      </c>
      <c r="K233" s="107">
        <f>K229*1.23602</f>
        <v>49.131795</v>
      </c>
      <c r="L233" s="225"/>
      <c r="M233" s="224"/>
      <c r="N233" s="225">
        <f>K233*L233</f>
        <v>0</v>
      </c>
      <c r="O233" s="224"/>
      <c r="P233" s="224"/>
      <c r="Q233" s="224"/>
      <c r="R233" s="20"/>
      <c r="T233" s="108"/>
      <c r="U233" s="26" t="s">
        <v>37</v>
      </c>
      <c r="V233" s="109">
        <v>0.39</v>
      </c>
      <c r="W233" s="109">
        <f>$V$233*$K$233</f>
        <v>19.16140005</v>
      </c>
      <c r="X233" s="109">
        <v>0</v>
      </c>
      <c r="Y233" s="109">
        <f>$X$233*$K$233</f>
        <v>0</v>
      </c>
      <c r="Z233" s="109">
        <v>0</v>
      </c>
      <c r="AA233" s="110">
        <f>$Z$233*$K$233</f>
        <v>0</v>
      </c>
      <c r="AC233" s="138"/>
      <c r="AD233" s="138"/>
      <c r="AE233" s="138"/>
      <c r="AF233" s="138"/>
      <c r="AG233" s="138"/>
      <c r="AH233" s="138"/>
      <c r="AI233" s="138"/>
      <c r="AJ233" s="138"/>
      <c r="AR233" s="6" t="s">
        <v>134</v>
      </c>
      <c r="AT233" s="6" t="s">
        <v>130</v>
      </c>
      <c r="AU233" s="6" t="s">
        <v>82</v>
      </c>
      <c r="AY233" s="6" t="s">
        <v>129</v>
      </c>
      <c r="BE233" s="111">
        <f>IF($U$233="základní",$N$233,0)</f>
        <v>0</v>
      </c>
      <c r="BF233" s="111">
        <f>IF($U$233="snížená",$N$233,0)</f>
        <v>0</v>
      </c>
      <c r="BG233" s="111">
        <f>IF($U$233="zákl. přenesená",$N$233,0)</f>
        <v>0</v>
      </c>
      <c r="BH233" s="111">
        <f>IF($U$233="sníž. přenesená",$N$233,0)</f>
        <v>0</v>
      </c>
      <c r="BI233" s="111">
        <f>IF($U$233="nulová",$N$233,0)</f>
        <v>0</v>
      </c>
      <c r="BJ233" s="6" t="s">
        <v>18</v>
      </c>
      <c r="BK233" s="112">
        <f>ROUND($L$233*$K$233,3)</f>
        <v>0</v>
      </c>
      <c r="BL233" s="6" t="s">
        <v>134</v>
      </c>
    </row>
    <row r="234" spans="2:63" s="94" customFormat="1" ht="30.75" customHeight="1">
      <c r="B234" s="95"/>
      <c r="D234" s="103" t="s">
        <v>102</v>
      </c>
      <c r="N234" s="229">
        <f>SUM(N235:Q239)</f>
        <v>0</v>
      </c>
      <c r="O234" s="228"/>
      <c r="P234" s="228"/>
      <c r="Q234" s="228"/>
      <c r="R234" s="98"/>
      <c r="T234" s="99"/>
      <c r="W234" s="100">
        <f>SUM($W$235:$W$239)</f>
        <v>63.923904</v>
      </c>
      <c r="Y234" s="100">
        <f>SUM($Y$235:$Y$239)</f>
        <v>37.5951186</v>
      </c>
      <c r="AA234" s="101">
        <f>SUM($AA$235:$AA$239)</f>
        <v>0</v>
      </c>
      <c r="AC234" s="140"/>
      <c r="AD234" s="140"/>
      <c r="AE234" s="140"/>
      <c r="AF234" s="140"/>
      <c r="AG234" s="140"/>
      <c r="AH234" s="140"/>
      <c r="AI234" s="140"/>
      <c r="AJ234" s="140"/>
      <c r="AR234" s="97" t="s">
        <v>18</v>
      </c>
      <c r="AT234" s="97" t="s">
        <v>71</v>
      </c>
      <c r="AU234" s="97" t="s">
        <v>18</v>
      </c>
      <c r="AY234" s="97" t="s">
        <v>129</v>
      </c>
      <c r="BK234" s="102">
        <f>SUM($BK$235:$BK$239)</f>
        <v>0</v>
      </c>
    </row>
    <row r="235" spans="2:64" s="6" customFormat="1" ht="27" customHeight="1">
      <c r="B235" s="19"/>
      <c r="C235" s="104">
        <v>77</v>
      </c>
      <c r="D235" s="104" t="s">
        <v>130</v>
      </c>
      <c r="E235" s="105" t="s">
        <v>218</v>
      </c>
      <c r="F235" s="223" t="s">
        <v>308</v>
      </c>
      <c r="G235" s="224"/>
      <c r="H235" s="224"/>
      <c r="I235" s="224"/>
      <c r="J235" s="106" t="s">
        <v>149</v>
      </c>
      <c r="K235" s="107">
        <v>31.86</v>
      </c>
      <c r="L235" s="225"/>
      <c r="M235" s="224"/>
      <c r="N235" s="225">
        <f>K235*L235</f>
        <v>0</v>
      </c>
      <c r="O235" s="224"/>
      <c r="P235" s="224"/>
      <c r="Q235" s="224"/>
      <c r="R235" s="20"/>
      <c r="T235" s="108"/>
      <c r="U235" s="26" t="s">
        <v>37</v>
      </c>
      <c r="V235" s="109">
        <v>1.441</v>
      </c>
      <c r="W235" s="109">
        <f>$V$235*$K$235</f>
        <v>45.91026</v>
      </c>
      <c r="X235" s="109">
        <v>0.19536</v>
      </c>
      <c r="Y235" s="109">
        <f>$X$235*$K$235</f>
        <v>6.2241696</v>
      </c>
      <c r="Z235" s="109">
        <v>0</v>
      </c>
      <c r="AA235" s="110">
        <f>$Z$235*$K$235</f>
        <v>0</v>
      </c>
      <c r="AC235" s="138"/>
      <c r="AD235" s="138"/>
      <c r="AE235" s="138"/>
      <c r="AF235" s="138"/>
      <c r="AG235" s="138"/>
      <c r="AH235" s="138"/>
      <c r="AI235" s="138"/>
      <c r="AJ235" s="138"/>
      <c r="AR235" s="6" t="s">
        <v>134</v>
      </c>
      <c r="AT235" s="6" t="s">
        <v>130</v>
      </c>
      <c r="AU235" s="6" t="s">
        <v>82</v>
      </c>
      <c r="AY235" s="6" t="s">
        <v>129</v>
      </c>
      <c r="BE235" s="111">
        <f>IF($U$235="základní",$N$235,0)</f>
        <v>0</v>
      </c>
      <c r="BF235" s="111">
        <f>IF($U$235="snížená",$N$235,0)</f>
        <v>0</v>
      </c>
      <c r="BG235" s="111">
        <f>IF($U$235="zákl. přenesená",$N$235,0)</f>
        <v>0</v>
      </c>
      <c r="BH235" s="111">
        <f>IF($U$235="sníž. přenesená",$N$235,0)</f>
        <v>0</v>
      </c>
      <c r="BI235" s="111">
        <f>IF($U$235="nulová",$N$235,0)</f>
        <v>0</v>
      </c>
      <c r="BJ235" s="6" t="s">
        <v>18</v>
      </c>
      <c r="BK235" s="112">
        <f>ROUND($L$235*$K$235,3)</f>
        <v>0</v>
      </c>
      <c r="BL235" s="6" t="s">
        <v>134</v>
      </c>
    </row>
    <row r="236" spans="2:64" s="6" customFormat="1" ht="15.75" customHeight="1">
      <c r="B236" s="19"/>
      <c r="C236" s="166">
        <v>78</v>
      </c>
      <c r="D236" s="166" t="s">
        <v>212</v>
      </c>
      <c r="E236" s="167" t="s">
        <v>242</v>
      </c>
      <c r="F236" s="239" t="s">
        <v>363</v>
      </c>
      <c r="G236" s="240"/>
      <c r="H236" s="240"/>
      <c r="I236" s="240"/>
      <c r="J236" s="168" t="s">
        <v>149</v>
      </c>
      <c r="K236" s="169">
        <v>31.86</v>
      </c>
      <c r="L236" s="241"/>
      <c r="M236" s="240"/>
      <c r="N236" s="241">
        <f>K236*L236</f>
        <v>0</v>
      </c>
      <c r="O236" s="242"/>
      <c r="P236" s="242"/>
      <c r="Q236" s="242"/>
      <c r="R236" s="20"/>
      <c r="T236" s="108"/>
      <c r="U236" s="26" t="s">
        <v>37</v>
      </c>
      <c r="V236" s="109">
        <v>0</v>
      </c>
      <c r="W236" s="109">
        <f>$V$236*$K$236</f>
        <v>0</v>
      </c>
      <c r="X236" s="109">
        <v>0.07</v>
      </c>
      <c r="Y236" s="109">
        <f>$X$236*$K$236</f>
        <v>2.2302</v>
      </c>
      <c r="Z236" s="109">
        <v>0</v>
      </c>
      <c r="AA236" s="110">
        <f>$Z$236*$K$236</f>
        <v>0</v>
      </c>
      <c r="AC236" s="138"/>
      <c r="AD236" s="138"/>
      <c r="AE236" s="138"/>
      <c r="AF236" s="138"/>
      <c r="AG236" s="138"/>
      <c r="AH236" s="138"/>
      <c r="AI236" s="138"/>
      <c r="AJ236" s="138"/>
      <c r="AR236" s="6" t="s">
        <v>153</v>
      </c>
      <c r="AT236" s="6" t="s">
        <v>212</v>
      </c>
      <c r="AU236" s="6" t="s">
        <v>82</v>
      </c>
      <c r="AY236" s="6" t="s">
        <v>129</v>
      </c>
      <c r="BE236" s="111">
        <f>IF($U$236="základní",$N$236,0)</f>
        <v>0</v>
      </c>
      <c r="BF236" s="111">
        <f>IF($U$236="snížená",$N$236,0)</f>
        <v>0</v>
      </c>
      <c r="BG236" s="111">
        <f>IF($U$236="zákl. přenesená",$N$236,0)</f>
        <v>0</v>
      </c>
      <c r="BH236" s="111">
        <f>IF($U$236="sníž. přenesená",$N$236,0)</f>
        <v>0</v>
      </c>
      <c r="BI236" s="111">
        <f>IF($U$236="nulová",$N$236,0)</f>
        <v>0</v>
      </c>
      <c r="BJ236" s="6" t="s">
        <v>18</v>
      </c>
      <c r="BK236" s="112">
        <f>ROUND($L$236*$K$236,3)</f>
        <v>0</v>
      </c>
      <c r="BL236" s="6" t="s">
        <v>134</v>
      </c>
    </row>
    <row r="237" spans="2:64" s="6" customFormat="1" ht="27" customHeight="1">
      <c r="B237" s="19"/>
      <c r="C237" s="104">
        <v>79</v>
      </c>
      <c r="D237" s="104" t="s">
        <v>130</v>
      </c>
      <c r="E237" s="105" t="s">
        <v>244</v>
      </c>
      <c r="F237" s="223" t="s">
        <v>245</v>
      </c>
      <c r="G237" s="224"/>
      <c r="H237" s="224"/>
      <c r="I237" s="224"/>
      <c r="J237" s="106" t="s">
        <v>149</v>
      </c>
      <c r="K237" s="107">
        <v>31.86</v>
      </c>
      <c r="L237" s="225"/>
      <c r="M237" s="224"/>
      <c r="N237" s="225">
        <f>K237*L237</f>
        <v>0</v>
      </c>
      <c r="O237" s="224"/>
      <c r="P237" s="224"/>
      <c r="Q237" s="224"/>
      <c r="R237" s="20"/>
      <c r="T237" s="108"/>
      <c r="U237" s="26" t="s">
        <v>37</v>
      </c>
      <c r="V237" s="109">
        <v>0.042</v>
      </c>
      <c r="W237" s="109">
        <f>$V$237*$K$237</f>
        <v>1.33812</v>
      </c>
      <c r="X237" s="109">
        <v>0.46837</v>
      </c>
      <c r="Y237" s="109">
        <f>$X$237*$K$237</f>
        <v>14.9222682</v>
      </c>
      <c r="Z237" s="109">
        <v>0</v>
      </c>
      <c r="AA237" s="110">
        <f>$Z$237*$K$237</f>
        <v>0</v>
      </c>
      <c r="AC237" s="138"/>
      <c r="AD237" s="138"/>
      <c r="AE237" s="138"/>
      <c r="AF237" s="138"/>
      <c r="AG237" s="138"/>
      <c r="AH237" s="138"/>
      <c r="AI237" s="138"/>
      <c r="AJ237" s="138"/>
      <c r="AR237" s="6" t="s">
        <v>134</v>
      </c>
      <c r="AT237" s="6" t="s">
        <v>130</v>
      </c>
      <c r="AU237" s="6" t="s">
        <v>82</v>
      </c>
      <c r="AY237" s="6" t="s">
        <v>129</v>
      </c>
      <c r="BE237" s="111">
        <f>IF($U$237="základní",$N$237,0)</f>
        <v>0</v>
      </c>
      <c r="BF237" s="111">
        <f>IF($U$237="snížená",$N$237,0)</f>
        <v>0</v>
      </c>
      <c r="BG237" s="111">
        <f>IF($U$237="zákl. přenesená",$N$237,0)</f>
        <v>0</v>
      </c>
      <c r="BH237" s="111">
        <f>IF($U$237="sníž. přenesená",$N$237,0)</f>
        <v>0</v>
      </c>
      <c r="BI237" s="111">
        <f>IF($U$237="nulová",$N$237,0)</f>
        <v>0</v>
      </c>
      <c r="BJ237" s="6" t="s">
        <v>18</v>
      </c>
      <c r="BK237" s="112">
        <f>ROUND($L$237*$K$237,3)</f>
        <v>0</v>
      </c>
      <c r="BL237" s="6" t="s">
        <v>134</v>
      </c>
    </row>
    <row r="238" spans="2:64" s="6" customFormat="1" ht="27" customHeight="1">
      <c r="B238" s="19"/>
      <c r="C238" s="104">
        <v>80</v>
      </c>
      <c r="D238" s="104" t="s">
        <v>130</v>
      </c>
      <c r="E238" s="105" t="s">
        <v>246</v>
      </c>
      <c r="F238" s="223" t="s">
        <v>247</v>
      </c>
      <c r="G238" s="224"/>
      <c r="H238" s="224"/>
      <c r="I238" s="224"/>
      <c r="J238" s="106" t="s">
        <v>149</v>
      </c>
      <c r="K238" s="107">
        <v>31.86</v>
      </c>
      <c r="L238" s="225"/>
      <c r="M238" s="224"/>
      <c r="N238" s="225">
        <f>K238*L238</f>
        <v>0</v>
      </c>
      <c r="O238" s="224"/>
      <c r="P238" s="224"/>
      <c r="Q238" s="224"/>
      <c r="R238" s="20"/>
      <c r="T238" s="108"/>
      <c r="U238" s="26" t="s">
        <v>37</v>
      </c>
      <c r="V238" s="109">
        <v>0.032</v>
      </c>
      <c r="W238" s="109">
        <f>$V$238*$K$238</f>
        <v>1.01952</v>
      </c>
      <c r="X238" s="109">
        <v>0.44628</v>
      </c>
      <c r="Y238" s="109">
        <f>$X$238*$K$238</f>
        <v>14.2184808</v>
      </c>
      <c r="Z238" s="109">
        <v>0</v>
      </c>
      <c r="AA238" s="110">
        <f>$Z$238*$K$238</f>
        <v>0</v>
      </c>
      <c r="AC238" s="138"/>
      <c r="AD238" s="138"/>
      <c r="AE238" s="138"/>
      <c r="AF238" s="138"/>
      <c r="AG238" s="138"/>
      <c r="AH238" s="138"/>
      <c r="AI238" s="138"/>
      <c r="AJ238" s="138"/>
      <c r="AR238" s="6" t="s">
        <v>134</v>
      </c>
      <c r="AT238" s="6" t="s">
        <v>130</v>
      </c>
      <c r="AU238" s="6" t="s">
        <v>82</v>
      </c>
      <c r="AY238" s="6" t="s">
        <v>129</v>
      </c>
      <c r="BE238" s="111">
        <f>IF($U$238="základní",$N$238,0)</f>
        <v>0</v>
      </c>
      <c r="BF238" s="111">
        <f>IF($U$238="snížená",$N$238,0)</f>
        <v>0</v>
      </c>
      <c r="BG238" s="111">
        <f>IF($U$238="zákl. přenesená",$N$238,0)</f>
        <v>0</v>
      </c>
      <c r="BH238" s="111">
        <f>IF($U$238="sníž. přenesená",$N$238,0)</f>
        <v>0</v>
      </c>
      <c r="BI238" s="111">
        <f>IF($U$238="nulová",$N$238,0)</f>
        <v>0</v>
      </c>
      <c r="BJ238" s="6" t="s">
        <v>18</v>
      </c>
      <c r="BK238" s="112">
        <f>ROUND($L$238*$K$238,3)</f>
        <v>0</v>
      </c>
      <c r="BL238" s="6" t="s">
        <v>134</v>
      </c>
    </row>
    <row r="239" spans="2:64" s="6" customFormat="1" ht="27" customHeight="1">
      <c r="B239" s="19"/>
      <c r="C239" s="104">
        <v>81</v>
      </c>
      <c r="D239" s="104" t="s">
        <v>130</v>
      </c>
      <c r="E239" s="105" t="s">
        <v>215</v>
      </c>
      <c r="F239" s="223" t="s">
        <v>216</v>
      </c>
      <c r="G239" s="224"/>
      <c r="H239" s="224"/>
      <c r="I239" s="224"/>
      <c r="J239" s="106" t="s">
        <v>187</v>
      </c>
      <c r="K239" s="107">
        <f>K235*1.26</f>
        <v>40.1436</v>
      </c>
      <c r="L239" s="225"/>
      <c r="M239" s="224"/>
      <c r="N239" s="225">
        <f>K239*L239</f>
        <v>0</v>
      </c>
      <c r="O239" s="224"/>
      <c r="P239" s="224"/>
      <c r="Q239" s="224"/>
      <c r="R239" s="20"/>
      <c r="T239" s="108"/>
      <c r="U239" s="26" t="s">
        <v>37</v>
      </c>
      <c r="V239" s="109">
        <v>0.39</v>
      </c>
      <c r="W239" s="109">
        <f>$V$239*$K$239</f>
        <v>15.656004000000001</v>
      </c>
      <c r="X239" s="109">
        <v>0</v>
      </c>
      <c r="Y239" s="109">
        <f>$X$239*$K$239</f>
        <v>0</v>
      </c>
      <c r="Z239" s="109">
        <v>0</v>
      </c>
      <c r="AA239" s="110">
        <f>$Z$239*$K$239</f>
        <v>0</v>
      </c>
      <c r="AC239" s="138"/>
      <c r="AD239" s="138"/>
      <c r="AE239" s="138"/>
      <c r="AF239" s="138"/>
      <c r="AG239" s="138"/>
      <c r="AH239" s="138"/>
      <c r="AI239" s="138"/>
      <c r="AJ239" s="138"/>
      <c r="AR239" s="6" t="s">
        <v>134</v>
      </c>
      <c r="AT239" s="6" t="s">
        <v>130</v>
      </c>
      <c r="AU239" s="6" t="s">
        <v>82</v>
      </c>
      <c r="AY239" s="6" t="s">
        <v>129</v>
      </c>
      <c r="BE239" s="111">
        <f>IF($U$239="základní",$N$239,0)</f>
        <v>0</v>
      </c>
      <c r="BF239" s="111">
        <f>IF($U$239="snížená",$N$239,0)</f>
        <v>0</v>
      </c>
      <c r="BG239" s="111">
        <f>IF($U$239="zákl. přenesená",$N$239,0)</f>
        <v>0</v>
      </c>
      <c r="BH239" s="111">
        <f>IF($U$239="sníž. přenesená",$N$239,0)</f>
        <v>0</v>
      </c>
      <c r="BI239" s="111">
        <f>IF($U$239="nulová",$N$239,0)</f>
        <v>0</v>
      </c>
      <c r="BJ239" s="6" t="s">
        <v>18</v>
      </c>
      <c r="BK239" s="112">
        <f>ROUND($L$239*$K$239,3)</f>
        <v>0</v>
      </c>
      <c r="BL239" s="6" t="s">
        <v>134</v>
      </c>
    </row>
    <row r="240" spans="2:63" s="94" customFormat="1" ht="30.75" customHeight="1">
      <c r="B240" s="95"/>
      <c r="D240" s="103" t="s">
        <v>105</v>
      </c>
      <c r="N240" s="229">
        <f>SUM(N241:Q248)</f>
        <v>0</v>
      </c>
      <c r="O240" s="228"/>
      <c r="P240" s="228"/>
      <c r="Q240" s="228"/>
      <c r="R240" s="98"/>
      <c r="T240" s="99"/>
      <c r="W240" s="100" t="e">
        <f>SUM($W$241:$W$248)</f>
        <v>#REF!</v>
      </c>
      <c r="Y240" s="100" t="e">
        <f>SUM($Y$241:$Y$248)</f>
        <v>#REF!</v>
      </c>
      <c r="AA240" s="101" t="e">
        <f>SUM($AA$241:$AA$248)</f>
        <v>#REF!</v>
      </c>
      <c r="AC240" s="140"/>
      <c r="AD240" s="140"/>
      <c r="AE240" s="140"/>
      <c r="AF240" s="140"/>
      <c r="AG240" s="140"/>
      <c r="AH240" s="140"/>
      <c r="AI240" s="140"/>
      <c r="AJ240" s="140"/>
      <c r="AR240" s="97" t="s">
        <v>18</v>
      </c>
      <c r="AT240" s="97" t="s">
        <v>71</v>
      </c>
      <c r="AU240" s="97" t="s">
        <v>18</v>
      </c>
      <c r="AY240" s="97" t="s">
        <v>129</v>
      </c>
      <c r="BK240" s="102" t="e">
        <f>SUM($BK$241:$BK$248)</f>
        <v>#REF!</v>
      </c>
    </row>
    <row r="241" spans="2:64" s="6" customFormat="1" ht="27" customHeight="1">
      <c r="B241" s="19"/>
      <c r="C241" s="104">
        <v>82</v>
      </c>
      <c r="D241" s="104" t="s">
        <v>130</v>
      </c>
      <c r="E241" s="105" t="s">
        <v>218</v>
      </c>
      <c r="F241" s="223" t="s">
        <v>324</v>
      </c>
      <c r="G241" s="224"/>
      <c r="H241" s="224"/>
      <c r="I241" s="224"/>
      <c r="J241" s="106" t="s">
        <v>149</v>
      </c>
      <c r="K241" s="107">
        <v>1430.62</v>
      </c>
      <c r="L241" s="225"/>
      <c r="M241" s="224"/>
      <c r="N241" s="225">
        <f>K241*L241</f>
        <v>0</v>
      </c>
      <c r="O241" s="224"/>
      <c r="P241" s="224"/>
      <c r="Q241" s="224"/>
      <c r="R241" s="20"/>
      <c r="T241" s="108"/>
      <c r="U241" s="26" t="s">
        <v>37</v>
      </c>
      <c r="V241" s="109">
        <v>1.441</v>
      </c>
      <c r="W241" s="109">
        <f>$V$241*$K$241</f>
        <v>2061.52342</v>
      </c>
      <c r="X241" s="109">
        <v>0.19536</v>
      </c>
      <c r="Y241" s="109">
        <f>$X$241*$K$241</f>
        <v>279.4859232</v>
      </c>
      <c r="Z241" s="109">
        <v>0</v>
      </c>
      <c r="AA241" s="110">
        <f>$Z$241*$K$241</f>
        <v>0</v>
      </c>
      <c r="AC241" s="138"/>
      <c r="AD241" s="138"/>
      <c r="AE241" s="138"/>
      <c r="AF241" s="138"/>
      <c r="AG241" s="138"/>
      <c r="AH241" s="138"/>
      <c r="AI241" s="138"/>
      <c r="AJ241" s="138"/>
      <c r="AR241" s="6" t="s">
        <v>134</v>
      </c>
      <c r="AT241" s="6" t="s">
        <v>130</v>
      </c>
      <c r="AU241" s="6" t="s">
        <v>82</v>
      </c>
      <c r="AY241" s="6" t="s">
        <v>129</v>
      </c>
      <c r="BE241" s="111">
        <f>IF($U$241="základní",$N$241,0)</f>
        <v>0</v>
      </c>
      <c r="BF241" s="111">
        <f>IF($U$241="snížená",$N$241,0)</f>
        <v>0</v>
      </c>
      <c r="BG241" s="111">
        <f>IF($U$241="zákl. přenesená",$N$241,0)</f>
        <v>0</v>
      </c>
      <c r="BH241" s="111">
        <f>IF($U$241="sníž. přenesená",$N$241,0)</f>
        <v>0</v>
      </c>
      <c r="BI241" s="111">
        <f>IF($U$241="nulová",$N$241,0)</f>
        <v>0</v>
      </c>
      <c r="BJ241" s="6" t="s">
        <v>18</v>
      </c>
      <c r="BK241" s="112">
        <f>ROUND($L$241*$K$241,3)</f>
        <v>0</v>
      </c>
      <c r="BL241" s="6" t="s">
        <v>134</v>
      </c>
    </row>
    <row r="242" spans="2:51" s="6" customFormat="1" ht="15.75" customHeight="1">
      <c r="B242" s="113"/>
      <c r="E242" s="114"/>
      <c r="F242" s="230" t="s">
        <v>348</v>
      </c>
      <c r="G242" s="231"/>
      <c r="H242" s="231"/>
      <c r="I242" s="231"/>
      <c r="K242" s="115">
        <f>K241/7*2-100</f>
        <v>308.7485714285714</v>
      </c>
      <c r="R242" s="116"/>
      <c r="T242" s="117"/>
      <c r="AA242" s="118"/>
      <c r="AC242" s="138"/>
      <c r="AD242" s="138"/>
      <c r="AE242" s="138"/>
      <c r="AF242" s="138"/>
      <c r="AG242" s="138"/>
      <c r="AH242" s="138"/>
      <c r="AI242" s="138"/>
      <c r="AJ242" s="138"/>
      <c r="AT242" s="114" t="s">
        <v>142</v>
      </c>
      <c r="AU242" s="114" t="s">
        <v>82</v>
      </c>
      <c r="AV242" s="114" t="s">
        <v>82</v>
      </c>
      <c r="AW242" s="114" t="s">
        <v>90</v>
      </c>
      <c r="AX242" s="114" t="s">
        <v>18</v>
      </c>
      <c r="AY242" s="114" t="s">
        <v>129</v>
      </c>
    </row>
    <row r="243" spans="2:64" s="6" customFormat="1" ht="45.75" customHeight="1">
      <c r="B243" s="19"/>
      <c r="C243" s="157">
        <v>83</v>
      </c>
      <c r="D243" s="157" t="s">
        <v>212</v>
      </c>
      <c r="E243" s="158" t="s">
        <v>217</v>
      </c>
      <c r="F243" s="243" t="s">
        <v>354</v>
      </c>
      <c r="G243" s="244"/>
      <c r="H243" s="244"/>
      <c r="I243" s="244"/>
      <c r="J243" s="159" t="s">
        <v>187</v>
      </c>
      <c r="K243" s="160">
        <v>100</v>
      </c>
      <c r="L243" s="245"/>
      <c r="M243" s="244"/>
      <c r="N243" s="245">
        <f aca="true" t="shared" si="1" ref="N243:N248">K243*L243</f>
        <v>0</v>
      </c>
      <c r="O243" s="246"/>
      <c r="P243" s="246"/>
      <c r="Q243" s="246"/>
      <c r="R243" s="20"/>
      <c r="T243" s="108"/>
      <c r="U243" s="26" t="s">
        <v>37</v>
      </c>
      <c r="V243" s="109">
        <v>0</v>
      </c>
      <c r="W243" s="109" t="e">
        <f>#REF!*#REF!</f>
        <v>#REF!</v>
      </c>
      <c r="X243" s="109">
        <v>1</v>
      </c>
      <c r="Y243" s="109" t="e">
        <f>#REF!*#REF!</f>
        <v>#REF!</v>
      </c>
      <c r="Z243" s="109">
        <v>0</v>
      </c>
      <c r="AA243" s="110" t="e">
        <f>#REF!*#REF!</f>
        <v>#REF!</v>
      </c>
      <c r="AC243" s="138"/>
      <c r="AD243" s="138"/>
      <c r="AE243" s="138"/>
      <c r="AF243" s="138"/>
      <c r="AG243" s="138"/>
      <c r="AH243" s="138"/>
      <c r="AI243" s="138"/>
      <c r="AJ243" s="138"/>
      <c r="AR243" s="6" t="s">
        <v>153</v>
      </c>
      <c r="AT243" s="6" t="s">
        <v>212</v>
      </c>
      <c r="AU243" s="6" t="s">
        <v>82</v>
      </c>
      <c r="AY243" s="6" t="s">
        <v>129</v>
      </c>
      <c r="BE243" s="111" t="e">
        <f>IF(#REF!="základní",#REF!,0)</f>
        <v>#REF!</v>
      </c>
      <c r="BF243" s="111" t="e">
        <f>IF(#REF!="snížená",#REF!,0)</f>
        <v>#REF!</v>
      </c>
      <c r="BG243" s="111" t="e">
        <f>IF(#REF!="zákl. přenesená",#REF!,0)</f>
        <v>#REF!</v>
      </c>
      <c r="BH243" s="111" t="e">
        <f>IF(#REF!="sníž. přenesená",#REF!,0)</f>
        <v>#REF!</v>
      </c>
      <c r="BI243" s="111" t="e">
        <f>IF(#REF!="nulová",#REF!,0)</f>
        <v>#REF!</v>
      </c>
      <c r="BJ243" s="6" t="s">
        <v>18</v>
      </c>
      <c r="BK243" s="112" t="e">
        <f>ROUND(#REF!*#REF!,3)</f>
        <v>#REF!</v>
      </c>
      <c r="BL243" s="6" t="s">
        <v>134</v>
      </c>
    </row>
    <row r="244" spans="2:64" s="6" customFormat="1" ht="15.75" customHeight="1">
      <c r="B244" s="19"/>
      <c r="C244" s="104">
        <v>84</v>
      </c>
      <c r="D244" s="104" t="s">
        <v>130</v>
      </c>
      <c r="E244" s="105" t="s">
        <v>192</v>
      </c>
      <c r="F244" s="223" t="s">
        <v>331</v>
      </c>
      <c r="G244" s="224"/>
      <c r="H244" s="224"/>
      <c r="I244" s="224"/>
      <c r="J244" s="106" t="s">
        <v>187</v>
      </c>
      <c r="K244" s="107">
        <f>K242</f>
        <v>308.7485714285714</v>
      </c>
      <c r="L244" s="225"/>
      <c r="M244" s="224"/>
      <c r="N244" s="225">
        <f t="shared" si="1"/>
        <v>0</v>
      </c>
      <c r="O244" s="224"/>
      <c r="P244" s="224"/>
      <c r="Q244" s="224"/>
      <c r="R244" s="20"/>
      <c r="T244" s="108"/>
      <c r="U244" s="26" t="s">
        <v>37</v>
      </c>
      <c r="V244" s="109">
        <v>0.136</v>
      </c>
      <c r="W244" s="109">
        <f>$V$156*$K$156</f>
        <v>103.09956000000001</v>
      </c>
      <c r="X244" s="109">
        <v>0</v>
      </c>
      <c r="Y244" s="109">
        <f>$X$156*$K$156</f>
        <v>0</v>
      </c>
      <c r="Z244" s="109">
        <v>0</v>
      </c>
      <c r="AA244" s="110">
        <f>$Z$156*$K$156</f>
        <v>0</v>
      </c>
      <c r="AC244" s="142"/>
      <c r="AD244" s="138"/>
      <c r="AE244" s="144"/>
      <c r="AF244" s="138"/>
      <c r="AG244" s="138"/>
      <c r="AH244" s="138"/>
      <c r="AI244" s="138"/>
      <c r="AJ244" s="138"/>
      <c r="AR244" s="6" t="s">
        <v>134</v>
      </c>
      <c r="AT244" s="6" t="s">
        <v>130</v>
      </c>
      <c r="AU244" s="6" t="s">
        <v>82</v>
      </c>
      <c r="AY244" s="6" t="s">
        <v>129</v>
      </c>
      <c r="BE244" s="111">
        <f>IF($U$156="základní",$N$156,0)</f>
        <v>0</v>
      </c>
      <c r="BF244" s="111">
        <f>IF($U$156="snížená",$N$156,0)</f>
        <v>0</v>
      </c>
      <c r="BG244" s="111">
        <f>IF($U$156="zákl. přenesená",$N$156,0)</f>
        <v>0</v>
      </c>
      <c r="BH244" s="111">
        <f>IF($U$156="sníž. přenesená",$N$156,0)</f>
        <v>0</v>
      </c>
      <c r="BI244" s="111">
        <f>IF($U$156="nulová",$N$156,0)</f>
        <v>0</v>
      </c>
      <c r="BJ244" s="6" t="s">
        <v>18</v>
      </c>
      <c r="BK244" s="112">
        <f>ROUND($L$156*$K$156,3)</f>
        <v>0</v>
      </c>
      <c r="BL244" s="6" t="s">
        <v>134</v>
      </c>
    </row>
    <row r="245" spans="2:64" s="6" customFormat="1" ht="27" customHeight="1">
      <c r="B245" s="19"/>
      <c r="C245" s="104">
        <v>85</v>
      </c>
      <c r="D245" s="104" t="s">
        <v>130</v>
      </c>
      <c r="E245" s="105" t="s">
        <v>185</v>
      </c>
      <c r="F245" s="223" t="s">
        <v>328</v>
      </c>
      <c r="G245" s="224"/>
      <c r="H245" s="224"/>
      <c r="I245" s="224"/>
      <c r="J245" s="106" t="s">
        <v>187</v>
      </c>
      <c r="K245" s="107">
        <f>K244</f>
        <v>308.7485714285714</v>
      </c>
      <c r="L245" s="225"/>
      <c r="M245" s="224"/>
      <c r="N245" s="225">
        <f t="shared" si="1"/>
        <v>0</v>
      </c>
      <c r="O245" s="224"/>
      <c r="P245" s="224"/>
      <c r="Q245" s="224"/>
      <c r="R245" s="20"/>
      <c r="T245" s="108"/>
      <c r="U245" s="26" t="s">
        <v>37</v>
      </c>
      <c r="V245" s="109">
        <v>0.125</v>
      </c>
      <c r="W245" s="109">
        <f>$V$154*$K$154</f>
        <v>94.760625</v>
      </c>
      <c r="X245" s="109">
        <v>0</v>
      </c>
      <c r="Y245" s="109">
        <f>$X$154*$K$154</f>
        <v>0</v>
      </c>
      <c r="Z245" s="109">
        <v>0</v>
      </c>
      <c r="AA245" s="110">
        <f>$Z$154*$K$154</f>
        <v>0</v>
      </c>
      <c r="AC245" s="143"/>
      <c r="AD245" s="138"/>
      <c r="AE245" s="138"/>
      <c r="AF245" s="138"/>
      <c r="AG245" s="138"/>
      <c r="AH245" s="138"/>
      <c r="AI245" s="138"/>
      <c r="AJ245" s="138"/>
      <c r="AR245" s="6" t="s">
        <v>134</v>
      </c>
      <c r="AT245" s="6" t="s">
        <v>130</v>
      </c>
      <c r="AU245" s="6" t="s">
        <v>82</v>
      </c>
      <c r="AY245" s="6" t="s">
        <v>129</v>
      </c>
      <c r="BE245" s="111">
        <f>IF($U$154="základní",$N$154,0)</f>
        <v>0</v>
      </c>
      <c r="BF245" s="111">
        <f>IF($U$154="snížená",$N$154,0)</f>
        <v>0</v>
      </c>
      <c r="BG245" s="111">
        <f>IF($U$154="zákl. přenesená",$N$154,0)</f>
        <v>0</v>
      </c>
      <c r="BH245" s="111">
        <f>IF($U$154="sníž. přenesená",$N$154,0)</f>
        <v>0</v>
      </c>
      <c r="BI245" s="111">
        <f>IF($U$154="nulová",$N$154,0)</f>
        <v>0</v>
      </c>
      <c r="BJ245" s="6" t="s">
        <v>18</v>
      </c>
      <c r="BK245" s="112">
        <f>ROUND($L$154*$K$154,3)</f>
        <v>0</v>
      </c>
      <c r="BL245" s="6" t="s">
        <v>134</v>
      </c>
    </row>
    <row r="246" spans="2:64" s="6" customFormat="1" ht="27" customHeight="1">
      <c r="B246" s="19"/>
      <c r="C246" s="104">
        <v>86</v>
      </c>
      <c r="D246" s="104" t="s">
        <v>130</v>
      </c>
      <c r="E246" s="105" t="s">
        <v>244</v>
      </c>
      <c r="F246" s="223" t="s">
        <v>245</v>
      </c>
      <c r="G246" s="224"/>
      <c r="H246" s="224"/>
      <c r="I246" s="224"/>
      <c r="J246" s="106" t="s">
        <v>149</v>
      </c>
      <c r="K246" s="107">
        <v>1430.62</v>
      </c>
      <c r="L246" s="225"/>
      <c r="M246" s="224"/>
      <c r="N246" s="225">
        <f t="shared" si="1"/>
        <v>0</v>
      </c>
      <c r="O246" s="224"/>
      <c r="P246" s="224"/>
      <c r="Q246" s="224"/>
      <c r="R246" s="20"/>
      <c r="T246" s="108"/>
      <c r="U246" s="26" t="s">
        <v>37</v>
      </c>
      <c r="V246" s="109">
        <v>0.042</v>
      </c>
      <c r="W246" s="109">
        <f>$V$246*$K$246</f>
        <v>60.08604</v>
      </c>
      <c r="X246" s="109">
        <v>0.46837</v>
      </c>
      <c r="Y246" s="109">
        <f>$X$246*$K$246</f>
        <v>670.0594894</v>
      </c>
      <c r="Z246" s="109">
        <v>0</v>
      </c>
      <c r="AA246" s="110">
        <f>$Z$246*$K$246</f>
        <v>0</v>
      </c>
      <c r="AC246" s="138"/>
      <c r="AD246" s="138"/>
      <c r="AE246" s="138"/>
      <c r="AF246" s="138"/>
      <c r="AG246" s="138"/>
      <c r="AH246" s="138"/>
      <c r="AI246" s="138"/>
      <c r="AJ246" s="138"/>
      <c r="AR246" s="6" t="s">
        <v>134</v>
      </c>
      <c r="AT246" s="6" t="s">
        <v>130</v>
      </c>
      <c r="AU246" s="6" t="s">
        <v>82</v>
      </c>
      <c r="AY246" s="6" t="s">
        <v>129</v>
      </c>
      <c r="BE246" s="111">
        <f>IF($U$246="základní",$N$246,0)</f>
        <v>0</v>
      </c>
      <c r="BF246" s="111">
        <f>IF($U$246="snížená",$N$246,0)</f>
        <v>0</v>
      </c>
      <c r="BG246" s="111">
        <f>IF($U$246="zákl. přenesená",$N$246,0)</f>
        <v>0</v>
      </c>
      <c r="BH246" s="111">
        <f>IF($U$246="sníž. přenesená",$N$246,0)</f>
        <v>0</v>
      </c>
      <c r="BI246" s="111">
        <f>IF($U$246="nulová",$N$246,0)</f>
        <v>0</v>
      </c>
      <c r="BJ246" s="6" t="s">
        <v>18</v>
      </c>
      <c r="BK246" s="112">
        <f>ROUND($L$246*$K$246,3)</f>
        <v>0</v>
      </c>
      <c r="BL246" s="6" t="s">
        <v>134</v>
      </c>
    </row>
    <row r="247" spans="2:64" s="6" customFormat="1" ht="27" customHeight="1">
      <c r="B247" s="19"/>
      <c r="C247" s="104">
        <v>87</v>
      </c>
      <c r="D247" s="104" t="s">
        <v>130</v>
      </c>
      <c r="E247" s="105" t="s">
        <v>246</v>
      </c>
      <c r="F247" s="223" t="s">
        <v>247</v>
      </c>
      <c r="G247" s="224"/>
      <c r="H247" s="224"/>
      <c r="I247" s="224"/>
      <c r="J247" s="106" t="s">
        <v>149</v>
      </c>
      <c r="K247" s="107">
        <v>1430.62</v>
      </c>
      <c r="L247" s="225"/>
      <c r="M247" s="224"/>
      <c r="N247" s="225">
        <f t="shared" si="1"/>
        <v>0</v>
      </c>
      <c r="O247" s="224"/>
      <c r="P247" s="224"/>
      <c r="Q247" s="224"/>
      <c r="R247" s="20"/>
      <c r="T247" s="108"/>
      <c r="U247" s="26" t="s">
        <v>37</v>
      </c>
      <c r="V247" s="109">
        <v>0.032</v>
      </c>
      <c r="W247" s="109">
        <f>$V$247*$K$247</f>
        <v>45.77984</v>
      </c>
      <c r="X247" s="109">
        <v>0.44628</v>
      </c>
      <c r="Y247" s="109">
        <f>$X$247*$K$247</f>
        <v>638.4570936</v>
      </c>
      <c r="Z247" s="109">
        <v>0</v>
      </c>
      <c r="AA247" s="110">
        <f>$Z$247*$K$247</f>
        <v>0</v>
      </c>
      <c r="AC247" s="138"/>
      <c r="AD247" s="138"/>
      <c r="AE247" s="138"/>
      <c r="AF247" s="138"/>
      <c r="AG247" s="138"/>
      <c r="AH247" s="138"/>
      <c r="AI247" s="138"/>
      <c r="AJ247" s="138"/>
      <c r="AR247" s="6" t="s">
        <v>134</v>
      </c>
      <c r="AT247" s="6" t="s">
        <v>130</v>
      </c>
      <c r="AU247" s="6" t="s">
        <v>82</v>
      </c>
      <c r="AY247" s="6" t="s">
        <v>129</v>
      </c>
      <c r="BE247" s="111">
        <f>IF($U$247="základní",$N$247,0)</f>
        <v>0</v>
      </c>
      <c r="BF247" s="111">
        <f>IF($U$247="snížená",$N$247,0)</f>
        <v>0</v>
      </c>
      <c r="BG247" s="111">
        <f>IF($U$247="zákl. přenesená",$N$247,0)</f>
        <v>0</v>
      </c>
      <c r="BH247" s="111">
        <f>IF($U$247="sníž. přenesená",$N$247,0)</f>
        <v>0</v>
      </c>
      <c r="BI247" s="111">
        <f>IF($U$247="nulová",$N$247,0)</f>
        <v>0</v>
      </c>
      <c r="BJ247" s="6" t="s">
        <v>18</v>
      </c>
      <c r="BK247" s="112">
        <f>ROUND($L$247*$K$247,3)</f>
        <v>0</v>
      </c>
      <c r="BL247" s="6" t="s">
        <v>134</v>
      </c>
    </row>
    <row r="248" spans="2:64" s="6" customFormat="1" ht="27" customHeight="1">
      <c r="B248" s="19"/>
      <c r="C248" s="104">
        <v>88</v>
      </c>
      <c r="D248" s="104" t="s">
        <v>130</v>
      </c>
      <c r="E248" s="105" t="s">
        <v>215</v>
      </c>
      <c r="F248" s="223" t="s">
        <v>216</v>
      </c>
      <c r="G248" s="224"/>
      <c r="H248" s="224"/>
      <c r="I248" s="224"/>
      <c r="J248" s="106" t="s">
        <v>187</v>
      </c>
      <c r="K248" s="107">
        <v>2064.876</v>
      </c>
      <c r="L248" s="225"/>
      <c r="M248" s="224"/>
      <c r="N248" s="225">
        <f t="shared" si="1"/>
        <v>0</v>
      </c>
      <c r="O248" s="224"/>
      <c r="P248" s="224"/>
      <c r="Q248" s="224"/>
      <c r="R248" s="20"/>
      <c r="T248" s="108"/>
      <c r="U248" s="26" t="s">
        <v>37</v>
      </c>
      <c r="V248" s="109">
        <v>0.39</v>
      </c>
      <c r="W248" s="109">
        <f>$V$248*$K$248</f>
        <v>805.3016400000001</v>
      </c>
      <c r="X248" s="109">
        <v>0</v>
      </c>
      <c r="Y248" s="109">
        <f>$X$248*$K$248</f>
        <v>0</v>
      </c>
      <c r="Z248" s="109">
        <v>0</v>
      </c>
      <c r="AA248" s="110">
        <f>$Z$248*$K$248</f>
        <v>0</v>
      </c>
      <c r="AC248" s="138"/>
      <c r="AD248" s="138"/>
      <c r="AE248" s="138"/>
      <c r="AF248" s="138"/>
      <c r="AG248" s="138"/>
      <c r="AH248" s="138"/>
      <c r="AI248" s="138"/>
      <c r="AJ248" s="138"/>
      <c r="AR248" s="6" t="s">
        <v>134</v>
      </c>
      <c r="AT248" s="6" t="s">
        <v>130</v>
      </c>
      <c r="AU248" s="6" t="s">
        <v>82</v>
      </c>
      <c r="AY248" s="6" t="s">
        <v>129</v>
      </c>
      <c r="BE248" s="111">
        <f>IF($U$248="základní",$N$248,0)</f>
        <v>0</v>
      </c>
      <c r="BF248" s="111">
        <f>IF($U$248="snížená",$N$248,0)</f>
        <v>0</v>
      </c>
      <c r="BG248" s="111">
        <f>IF($U$248="zákl. přenesená",$N$248,0)</f>
        <v>0</v>
      </c>
      <c r="BH248" s="111">
        <f>IF($U$248="sníž. přenesená",$N$248,0)</f>
        <v>0</v>
      </c>
      <c r="BI248" s="111">
        <f>IF($U$248="nulová",$N$248,0)</f>
        <v>0</v>
      </c>
      <c r="BJ248" s="6" t="s">
        <v>18</v>
      </c>
      <c r="BK248" s="112">
        <f>ROUND($L$248*$K$248,3)</f>
        <v>0</v>
      </c>
      <c r="BL248" s="6" t="s">
        <v>134</v>
      </c>
    </row>
    <row r="249" spans="2:63" s="94" customFormat="1" ht="30.75" customHeight="1">
      <c r="B249" s="95"/>
      <c r="D249" s="103" t="s">
        <v>106</v>
      </c>
      <c r="N249" s="229">
        <f>SUM(N250:Q257)</f>
        <v>0</v>
      </c>
      <c r="O249" s="228"/>
      <c r="P249" s="228"/>
      <c r="Q249" s="228"/>
      <c r="R249" s="98"/>
      <c r="T249" s="99"/>
      <c r="W249" s="100">
        <f>SUM($W$250:$W$257)</f>
        <v>1368.7846650000001</v>
      </c>
      <c r="Y249" s="100">
        <f>SUM($Y$250:$Y$257)</f>
        <v>625.7095295</v>
      </c>
      <c r="AA249" s="101">
        <f>SUM($AA$250:$AA$257)</f>
        <v>0</v>
      </c>
      <c r="AC249" s="147"/>
      <c r="AD249" s="140"/>
      <c r="AE249" s="140"/>
      <c r="AF249" s="140"/>
      <c r="AG249" s="140"/>
      <c r="AH249" s="140"/>
      <c r="AI249" s="140"/>
      <c r="AJ249" s="140"/>
      <c r="AR249" s="97" t="s">
        <v>18</v>
      </c>
      <c r="AT249" s="97" t="s">
        <v>71</v>
      </c>
      <c r="AU249" s="97" t="s">
        <v>18</v>
      </c>
      <c r="AY249" s="97" t="s">
        <v>129</v>
      </c>
      <c r="BK249" s="102">
        <f>SUM($BK$250:$BK$257)</f>
        <v>0</v>
      </c>
    </row>
    <row r="250" spans="2:64" s="6" customFormat="1" ht="27" customHeight="1">
      <c r="B250" s="19"/>
      <c r="C250" s="104">
        <v>89</v>
      </c>
      <c r="D250" s="104" t="s">
        <v>130</v>
      </c>
      <c r="E250" s="105" t="s">
        <v>218</v>
      </c>
      <c r="F250" s="223" t="s">
        <v>333</v>
      </c>
      <c r="G250" s="224"/>
      <c r="H250" s="224"/>
      <c r="I250" s="224"/>
      <c r="J250" s="106" t="s">
        <v>149</v>
      </c>
      <c r="K250" s="107">
        <v>563.45</v>
      </c>
      <c r="L250" s="225"/>
      <c r="M250" s="224"/>
      <c r="N250" s="225">
        <f>K250*L250</f>
        <v>0</v>
      </c>
      <c r="O250" s="224"/>
      <c r="P250" s="224"/>
      <c r="Q250" s="224"/>
      <c r="R250" s="20"/>
      <c r="T250" s="108"/>
      <c r="U250" s="26" t="s">
        <v>37</v>
      </c>
      <c r="V250" s="109">
        <v>1.441</v>
      </c>
      <c r="W250" s="109">
        <f>$V$250*$K$250</f>
        <v>811.9314500000002</v>
      </c>
      <c r="X250" s="109">
        <v>0.19536</v>
      </c>
      <c r="Y250" s="109">
        <f>$X$250*$K$250</f>
        <v>110.07559200000001</v>
      </c>
      <c r="Z250" s="109">
        <v>0</v>
      </c>
      <c r="AA250" s="110">
        <f>$Z$250*$K$250</f>
        <v>0</v>
      </c>
      <c r="AC250" s="138"/>
      <c r="AD250" s="138"/>
      <c r="AE250" s="138"/>
      <c r="AF250" s="138"/>
      <c r="AG250" s="138"/>
      <c r="AH250" s="138"/>
      <c r="AI250" s="138"/>
      <c r="AJ250" s="138"/>
      <c r="AR250" s="6" t="s">
        <v>134</v>
      </c>
      <c r="AT250" s="6" t="s">
        <v>130</v>
      </c>
      <c r="AU250" s="6" t="s">
        <v>82</v>
      </c>
      <c r="AY250" s="6" t="s">
        <v>129</v>
      </c>
      <c r="BE250" s="111">
        <f>IF($U$250="základní",$N$250,0)</f>
        <v>0</v>
      </c>
      <c r="BF250" s="111">
        <f>IF($U$250="snížená",$N$250,0)</f>
        <v>0</v>
      </c>
      <c r="BG250" s="111">
        <f>IF($U$250="zákl. přenesená",$N$250,0)</f>
        <v>0</v>
      </c>
      <c r="BH250" s="111">
        <f>IF($U$250="sníž. přenesená",$N$250,0)</f>
        <v>0</v>
      </c>
      <c r="BI250" s="111">
        <f>IF($U$250="nulová",$N$250,0)</f>
        <v>0</v>
      </c>
      <c r="BJ250" s="6" t="s">
        <v>18</v>
      </c>
      <c r="BK250" s="112">
        <f>ROUND($L$250*$K$250,3)</f>
        <v>0</v>
      </c>
      <c r="BL250" s="6" t="s">
        <v>134</v>
      </c>
    </row>
    <row r="251" spans="2:64" s="6" customFormat="1" ht="30.75" customHeight="1">
      <c r="B251" s="19"/>
      <c r="C251" s="125">
        <v>90</v>
      </c>
      <c r="D251" s="125" t="s">
        <v>212</v>
      </c>
      <c r="E251" s="126" t="s">
        <v>217</v>
      </c>
      <c r="F251" s="234" t="s">
        <v>334</v>
      </c>
      <c r="G251" s="235"/>
      <c r="H251" s="235"/>
      <c r="I251" s="235"/>
      <c r="J251" s="127" t="s">
        <v>187</v>
      </c>
      <c r="K251" s="128">
        <v>0</v>
      </c>
      <c r="L251" s="236"/>
      <c r="M251" s="235"/>
      <c r="N251" s="236">
        <f>ROUND($L$251*$K$251,3)</f>
        <v>0</v>
      </c>
      <c r="O251" s="224"/>
      <c r="P251" s="224"/>
      <c r="Q251" s="224"/>
      <c r="R251" s="20"/>
      <c r="T251" s="108"/>
      <c r="U251" s="26" t="s">
        <v>37</v>
      </c>
      <c r="V251" s="109">
        <v>0</v>
      </c>
      <c r="W251" s="109">
        <f>$V$251*$K$251</f>
        <v>0</v>
      </c>
      <c r="X251" s="109">
        <v>1</v>
      </c>
      <c r="Y251" s="109">
        <f>$X$251*$K$251</f>
        <v>0</v>
      </c>
      <c r="Z251" s="109">
        <v>0</v>
      </c>
      <c r="AA251" s="110">
        <f>$Z$251*$K$251</f>
        <v>0</v>
      </c>
      <c r="AC251" s="138"/>
      <c r="AD251" s="138"/>
      <c r="AE251" s="138"/>
      <c r="AF251" s="138"/>
      <c r="AG251" s="138"/>
      <c r="AH251" s="138"/>
      <c r="AI251" s="138"/>
      <c r="AJ251" s="138"/>
      <c r="AR251" s="6" t="s">
        <v>153</v>
      </c>
      <c r="AT251" s="6" t="s">
        <v>212</v>
      </c>
      <c r="AU251" s="6" t="s">
        <v>82</v>
      </c>
      <c r="AY251" s="6" t="s">
        <v>129</v>
      </c>
      <c r="BE251" s="111">
        <f>IF($U$251="základní",$N$251,0)</f>
        <v>0</v>
      </c>
      <c r="BF251" s="111">
        <f>IF($U$251="snížená",$N$251,0)</f>
        <v>0</v>
      </c>
      <c r="BG251" s="111">
        <f>IF($U$251="zákl. přenesená",$N$251,0)</f>
        <v>0</v>
      </c>
      <c r="BH251" s="111">
        <f>IF($U$251="sníž. přenesená",$N$251,0)</f>
        <v>0</v>
      </c>
      <c r="BI251" s="111">
        <f>IF($U$251="nulová",$N$251,0)</f>
        <v>0</v>
      </c>
      <c r="BJ251" s="6" t="s">
        <v>18</v>
      </c>
      <c r="BK251" s="112">
        <f>ROUND($L$251*$K$251,3)</f>
        <v>0</v>
      </c>
      <c r="BL251" s="6" t="s">
        <v>134</v>
      </c>
    </row>
    <row r="252" spans="2:51" s="6" customFormat="1" ht="15.75" customHeight="1">
      <c r="B252" s="113"/>
      <c r="E252" s="114"/>
      <c r="F252" s="230" t="s">
        <v>335</v>
      </c>
      <c r="G252" s="231"/>
      <c r="H252" s="231"/>
      <c r="I252" s="231"/>
      <c r="K252" s="115">
        <f>K250/3.5</f>
        <v>160.9857142857143</v>
      </c>
      <c r="R252" s="116"/>
      <c r="T252" s="117"/>
      <c r="AA252" s="118"/>
      <c r="AC252" s="138"/>
      <c r="AD252" s="138"/>
      <c r="AE252" s="138"/>
      <c r="AF252" s="138"/>
      <c r="AG252" s="138"/>
      <c r="AH252" s="138"/>
      <c r="AI252" s="138"/>
      <c r="AJ252" s="138"/>
      <c r="AT252" s="114" t="s">
        <v>142</v>
      </c>
      <c r="AU252" s="114" t="s">
        <v>82</v>
      </c>
      <c r="AV252" s="114" t="s">
        <v>82</v>
      </c>
      <c r="AW252" s="114" t="s">
        <v>90</v>
      </c>
      <c r="AX252" s="114" t="s">
        <v>18</v>
      </c>
      <c r="AY252" s="114" t="s">
        <v>129</v>
      </c>
    </row>
    <row r="253" spans="2:64" s="6" customFormat="1" ht="15.75" customHeight="1">
      <c r="B253" s="19"/>
      <c r="C253" s="104">
        <v>91</v>
      </c>
      <c r="D253" s="104" t="s">
        <v>130</v>
      </c>
      <c r="E253" s="105" t="s">
        <v>192</v>
      </c>
      <c r="F253" s="223" t="s">
        <v>331</v>
      </c>
      <c r="G253" s="224"/>
      <c r="H253" s="224"/>
      <c r="I253" s="224"/>
      <c r="J253" s="106" t="s">
        <v>187</v>
      </c>
      <c r="K253" s="107">
        <f>K252</f>
        <v>160.9857142857143</v>
      </c>
      <c r="L253" s="225"/>
      <c r="M253" s="224"/>
      <c r="N253" s="225">
        <f>K253*L253</f>
        <v>0</v>
      </c>
      <c r="O253" s="224"/>
      <c r="P253" s="224"/>
      <c r="Q253" s="224"/>
      <c r="R253" s="20"/>
      <c r="T253" s="108"/>
      <c r="U253" s="26" t="s">
        <v>37</v>
      </c>
      <c r="V253" s="109">
        <v>0.136</v>
      </c>
      <c r="W253" s="109">
        <f>$V$156*$K$156</f>
        <v>103.09956000000001</v>
      </c>
      <c r="X253" s="109">
        <v>0</v>
      </c>
      <c r="Y253" s="109">
        <f>$X$156*$K$156</f>
        <v>0</v>
      </c>
      <c r="Z253" s="109">
        <v>0</v>
      </c>
      <c r="AA253" s="110">
        <f>$Z$156*$K$156</f>
        <v>0</v>
      </c>
      <c r="AC253" s="142"/>
      <c r="AD253" s="138"/>
      <c r="AE253" s="144"/>
      <c r="AF253" s="138"/>
      <c r="AG253" s="138"/>
      <c r="AH253" s="138"/>
      <c r="AI253" s="138"/>
      <c r="AJ253" s="138"/>
      <c r="AR253" s="6" t="s">
        <v>134</v>
      </c>
      <c r="AT253" s="6" t="s">
        <v>130</v>
      </c>
      <c r="AU253" s="6" t="s">
        <v>82</v>
      </c>
      <c r="AY253" s="6" t="s">
        <v>129</v>
      </c>
      <c r="BE253" s="111">
        <f>IF($U$156="základní",$N$156,0)</f>
        <v>0</v>
      </c>
      <c r="BF253" s="111">
        <f>IF($U$156="snížená",$N$156,0)</f>
        <v>0</v>
      </c>
      <c r="BG253" s="111">
        <f>IF($U$156="zákl. přenesená",$N$156,0)</f>
        <v>0</v>
      </c>
      <c r="BH253" s="111">
        <f>IF($U$156="sníž. přenesená",$N$156,0)</f>
        <v>0</v>
      </c>
      <c r="BI253" s="111">
        <f>IF($U$156="nulová",$N$156,0)</f>
        <v>0</v>
      </c>
      <c r="BJ253" s="6" t="s">
        <v>18</v>
      </c>
      <c r="BK253" s="112">
        <f>ROUND($L$156*$K$156,3)</f>
        <v>0</v>
      </c>
      <c r="BL253" s="6" t="s">
        <v>134</v>
      </c>
    </row>
    <row r="254" spans="2:64" s="6" customFormat="1" ht="27" customHeight="1">
      <c r="B254" s="19"/>
      <c r="C254" s="104">
        <v>92</v>
      </c>
      <c r="D254" s="104" t="s">
        <v>130</v>
      </c>
      <c r="E254" s="105" t="s">
        <v>185</v>
      </c>
      <c r="F254" s="223" t="s">
        <v>328</v>
      </c>
      <c r="G254" s="224"/>
      <c r="H254" s="224"/>
      <c r="I254" s="224"/>
      <c r="J254" s="106" t="s">
        <v>187</v>
      </c>
      <c r="K254" s="107">
        <f>K252</f>
        <v>160.9857142857143</v>
      </c>
      <c r="L254" s="225"/>
      <c r="M254" s="224"/>
      <c r="N254" s="225">
        <f>K254*L254</f>
        <v>0</v>
      </c>
      <c r="O254" s="224"/>
      <c r="P254" s="224"/>
      <c r="Q254" s="224"/>
      <c r="R254" s="20"/>
      <c r="T254" s="108"/>
      <c r="U254" s="26" t="s">
        <v>37</v>
      </c>
      <c r="V254" s="109">
        <v>0.125</v>
      </c>
      <c r="W254" s="109">
        <f>$V$154*$K$154</f>
        <v>94.760625</v>
      </c>
      <c r="X254" s="109">
        <v>0</v>
      </c>
      <c r="Y254" s="109">
        <f>$X$154*$K$154</f>
        <v>0</v>
      </c>
      <c r="Z254" s="109">
        <v>0</v>
      </c>
      <c r="AA254" s="110">
        <f>$Z$154*$K$154</f>
        <v>0</v>
      </c>
      <c r="AC254" s="143"/>
      <c r="AD254" s="138"/>
      <c r="AE254" s="138"/>
      <c r="AF254" s="138"/>
      <c r="AG254" s="138"/>
      <c r="AH254" s="138"/>
      <c r="AI254" s="138"/>
      <c r="AJ254" s="138"/>
      <c r="AR254" s="6" t="s">
        <v>134</v>
      </c>
      <c r="AT254" s="6" t="s">
        <v>130</v>
      </c>
      <c r="AU254" s="6" t="s">
        <v>82</v>
      </c>
      <c r="AY254" s="6" t="s">
        <v>129</v>
      </c>
      <c r="BE254" s="111">
        <f>IF($U$154="základní",$N$154,0)</f>
        <v>0</v>
      </c>
      <c r="BF254" s="111">
        <f>IF($U$154="snížená",$N$154,0)</f>
        <v>0</v>
      </c>
      <c r="BG254" s="111">
        <f>IF($U$154="zákl. přenesená",$N$154,0)</f>
        <v>0</v>
      </c>
      <c r="BH254" s="111">
        <f>IF($U$154="sníž. přenesená",$N$154,0)</f>
        <v>0</v>
      </c>
      <c r="BI254" s="111">
        <f>IF($U$154="nulová",$N$154,0)</f>
        <v>0</v>
      </c>
      <c r="BJ254" s="6" t="s">
        <v>18</v>
      </c>
      <c r="BK254" s="112">
        <f>ROUND($L$154*$K$154,3)</f>
        <v>0</v>
      </c>
      <c r="BL254" s="6" t="s">
        <v>134</v>
      </c>
    </row>
    <row r="255" spans="2:64" s="6" customFormat="1" ht="27" customHeight="1">
      <c r="B255" s="19"/>
      <c r="C255" s="104">
        <v>93</v>
      </c>
      <c r="D255" s="104" t="s">
        <v>130</v>
      </c>
      <c r="E255" s="105" t="s">
        <v>244</v>
      </c>
      <c r="F255" s="223" t="s">
        <v>245</v>
      </c>
      <c r="G255" s="224"/>
      <c r="H255" s="224"/>
      <c r="I255" s="224"/>
      <c r="J255" s="106" t="s">
        <v>149</v>
      </c>
      <c r="K255" s="107">
        <v>563.75</v>
      </c>
      <c r="L255" s="225"/>
      <c r="M255" s="224"/>
      <c r="N255" s="225">
        <f>K255*L255</f>
        <v>0</v>
      </c>
      <c r="O255" s="224"/>
      <c r="P255" s="224"/>
      <c r="Q255" s="224"/>
      <c r="R255" s="20"/>
      <c r="T255" s="108"/>
      <c r="U255" s="26" t="s">
        <v>37</v>
      </c>
      <c r="V255" s="109">
        <v>0.042</v>
      </c>
      <c r="W255" s="109">
        <f>$V$255*$K$255</f>
        <v>23.677500000000002</v>
      </c>
      <c r="X255" s="109">
        <v>0.46837</v>
      </c>
      <c r="Y255" s="109">
        <f>$X$255*$K$255</f>
        <v>264.0435875</v>
      </c>
      <c r="Z255" s="109">
        <v>0</v>
      </c>
      <c r="AA255" s="110">
        <f>$Z$255*$K$255</f>
        <v>0</v>
      </c>
      <c r="AC255" s="138"/>
      <c r="AD255" s="138"/>
      <c r="AE255" s="138"/>
      <c r="AF255" s="138"/>
      <c r="AG255" s="138"/>
      <c r="AH255" s="138"/>
      <c r="AI255" s="138"/>
      <c r="AJ255" s="138"/>
      <c r="AR255" s="6" t="s">
        <v>134</v>
      </c>
      <c r="AT255" s="6" t="s">
        <v>130</v>
      </c>
      <c r="AU255" s="6" t="s">
        <v>82</v>
      </c>
      <c r="AY255" s="6" t="s">
        <v>129</v>
      </c>
      <c r="BE255" s="111">
        <f>IF($U$255="základní",$N$255,0)</f>
        <v>0</v>
      </c>
      <c r="BF255" s="111">
        <f>IF($U$255="snížená",$N$255,0)</f>
        <v>0</v>
      </c>
      <c r="BG255" s="111">
        <f>IF($U$255="zákl. přenesená",$N$255,0)</f>
        <v>0</v>
      </c>
      <c r="BH255" s="111">
        <f>IF($U$255="sníž. přenesená",$N$255,0)</f>
        <v>0</v>
      </c>
      <c r="BI255" s="111">
        <f>IF($U$255="nulová",$N$255,0)</f>
        <v>0</v>
      </c>
      <c r="BJ255" s="6" t="s">
        <v>18</v>
      </c>
      <c r="BK255" s="112">
        <f>ROUND($L$255*$K$255,3)</f>
        <v>0</v>
      </c>
      <c r="BL255" s="6" t="s">
        <v>134</v>
      </c>
    </row>
    <row r="256" spans="2:64" s="6" customFormat="1" ht="27" customHeight="1">
      <c r="B256" s="19"/>
      <c r="C256" s="104">
        <v>94</v>
      </c>
      <c r="D256" s="104" t="s">
        <v>130</v>
      </c>
      <c r="E256" s="105" t="s">
        <v>246</v>
      </c>
      <c r="F256" s="223" t="s">
        <v>247</v>
      </c>
      <c r="G256" s="224"/>
      <c r="H256" s="224"/>
      <c r="I256" s="224"/>
      <c r="J256" s="106" t="s">
        <v>149</v>
      </c>
      <c r="K256" s="107">
        <v>563.75</v>
      </c>
      <c r="L256" s="225"/>
      <c r="M256" s="224"/>
      <c r="N256" s="225">
        <f>K256*L256</f>
        <v>0</v>
      </c>
      <c r="O256" s="224"/>
      <c r="P256" s="224"/>
      <c r="Q256" s="224"/>
      <c r="R256" s="20"/>
      <c r="T256" s="108"/>
      <c r="U256" s="26" t="s">
        <v>37</v>
      </c>
      <c r="V256" s="109">
        <v>0.032</v>
      </c>
      <c r="W256" s="109">
        <f>$V$256*$K$256</f>
        <v>18.04</v>
      </c>
      <c r="X256" s="109">
        <v>0.44628</v>
      </c>
      <c r="Y256" s="109">
        <f>$X$256*$K$256</f>
        <v>251.59035</v>
      </c>
      <c r="Z256" s="109">
        <v>0</v>
      </c>
      <c r="AA256" s="110">
        <f>$Z$256*$K$256</f>
        <v>0</v>
      </c>
      <c r="AC256" s="138"/>
      <c r="AD256" s="138"/>
      <c r="AE256" s="138"/>
      <c r="AF256" s="138"/>
      <c r="AG256" s="138"/>
      <c r="AH256" s="138"/>
      <c r="AI256" s="138"/>
      <c r="AJ256" s="138"/>
      <c r="AR256" s="6" t="s">
        <v>134</v>
      </c>
      <c r="AT256" s="6" t="s">
        <v>130</v>
      </c>
      <c r="AU256" s="6" t="s">
        <v>82</v>
      </c>
      <c r="AY256" s="6" t="s">
        <v>129</v>
      </c>
      <c r="BE256" s="111">
        <f>IF($U$256="základní",$N$256,0)</f>
        <v>0</v>
      </c>
      <c r="BF256" s="111">
        <f>IF($U$256="snížená",$N$256,0)</f>
        <v>0</v>
      </c>
      <c r="BG256" s="111">
        <f>IF($U$256="zákl. přenesená",$N$256,0)</f>
        <v>0</v>
      </c>
      <c r="BH256" s="111">
        <f>IF($U$256="sníž. přenesená",$N$256,0)</f>
        <v>0</v>
      </c>
      <c r="BI256" s="111">
        <f>IF($U$256="nulová",$N$256,0)</f>
        <v>0</v>
      </c>
      <c r="BJ256" s="6" t="s">
        <v>18</v>
      </c>
      <c r="BK256" s="112">
        <f>ROUND($L$256*$K$256,3)</f>
        <v>0</v>
      </c>
      <c r="BL256" s="6" t="s">
        <v>134</v>
      </c>
    </row>
    <row r="257" spans="2:64" s="6" customFormat="1" ht="27" customHeight="1">
      <c r="B257" s="19"/>
      <c r="C257" s="104">
        <v>95</v>
      </c>
      <c r="D257" s="104" t="s">
        <v>130</v>
      </c>
      <c r="E257" s="105" t="s">
        <v>215</v>
      </c>
      <c r="F257" s="223" t="s">
        <v>216</v>
      </c>
      <c r="G257" s="224"/>
      <c r="H257" s="224"/>
      <c r="I257" s="224"/>
      <c r="J257" s="106" t="s">
        <v>187</v>
      </c>
      <c r="K257" s="107">
        <v>813.527</v>
      </c>
      <c r="L257" s="225"/>
      <c r="M257" s="224"/>
      <c r="N257" s="225">
        <f>K257*L257</f>
        <v>0</v>
      </c>
      <c r="O257" s="224"/>
      <c r="P257" s="224"/>
      <c r="Q257" s="224"/>
      <c r="R257" s="20"/>
      <c r="T257" s="108"/>
      <c r="U257" s="26" t="s">
        <v>37</v>
      </c>
      <c r="V257" s="109">
        <v>0.39</v>
      </c>
      <c r="W257" s="109">
        <f>$V$257*$K$257</f>
        <v>317.27553</v>
      </c>
      <c r="X257" s="109">
        <v>0</v>
      </c>
      <c r="Y257" s="109">
        <f>$X$257*$K$257</f>
        <v>0</v>
      </c>
      <c r="Z257" s="109">
        <v>0</v>
      </c>
      <c r="AA257" s="110">
        <f>$Z$257*$K$257</f>
        <v>0</v>
      </c>
      <c r="AC257" s="138"/>
      <c r="AD257" s="138"/>
      <c r="AE257" s="138"/>
      <c r="AF257" s="138"/>
      <c r="AG257" s="138"/>
      <c r="AH257" s="138"/>
      <c r="AI257" s="138"/>
      <c r="AJ257" s="138"/>
      <c r="AR257" s="6" t="s">
        <v>134</v>
      </c>
      <c r="AT257" s="6" t="s">
        <v>130</v>
      </c>
      <c r="AU257" s="6" t="s">
        <v>82</v>
      </c>
      <c r="AY257" s="6" t="s">
        <v>129</v>
      </c>
      <c r="BE257" s="111">
        <f>IF($U$257="základní",$N$257,0)</f>
        <v>0</v>
      </c>
      <c r="BF257" s="111">
        <f>IF($U$257="snížená",$N$257,0)</f>
        <v>0</v>
      </c>
      <c r="BG257" s="111">
        <f>IF($U$257="zákl. přenesená",$N$257,0)</f>
        <v>0</v>
      </c>
      <c r="BH257" s="111">
        <f>IF($U$257="sníž. přenesená",$N$257,0)</f>
        <v>0</v>
      </c>
      <c r="BI257" s="111">
        <f>IF($U$257="nulová",$N$257,0)</f>
        <v>0</v>
      </c>
      <c r="BJ257" s="6" t="s">
        <v>18</v>
      </c>
      <c r="BK257" s="112">
        <f>ROUND($L$257*$K$257,3)</f>
        <v>0</v>
      </c>
      <c r="BL257" s="6" t="s">
        <v>134</v>
      </c>
    </row>
    <row r="258" spans="2:63" s="94" customFormat="1" ht="30.75" customHeight="1">
      <c r="B258" s="95"/>
      <c r="D258" s="103" t="s">
        <v>107</v>
      </c>
      <c r="N258" s="229">
        <f>SUM(N259:Q264)</f>
        <v>0</v>
      </c>
      <c r="O258" s="228"/>
      <c r="P258" s="228"/>
      <c r="Q258" s="228"/>
      <c r="R258" s="98"/>
      <c r="T258" s="99"/>
      <c r="W258" s="100">
        <f>SUM($W$259:$W$264)</f>
        <v>6.256048000000001</v>
      </c>
      <c r="Y258" s="100">
        <f>SUM($Y$259:$Y$264)</f>
        <v>1.92815</v>
      </c>
      <c r="AA258" s="101">
        <f>SUM($AA$259:$AA$264)</f>
        <v>0</v>
      </c>
      <c r="AC258" s="140"/>
      <c r="AD258" s="140"/>
      <c r="AE258" s="140"/>
      <c r="AF258" s="140"/>
      <c r="AG258" s="140"/>
      <c r="AH258" s="140"/>
      <c r="AI258" s="140"/>
      <c r="AJ258" s="140"/>
      <c r="AR258" s="97" t="s">
        <v>18</v>
      </c>
      <c r="AT258" s="97" t="s">
        <v>71</v>
      </c>
      <c r="AU258" s="97" t="s">
        <v>18</v>
      </c>
      <c r="AY258" s="97" t="s">
        <v>129</v>
      </c>
      <c r="BK258" s="102">
        <f>SUM($BK$259:$BK$264)</f>
        <v>0</v>
      </c>
    </row>
    <row r="259" spans="2:64" s="6" customFormat="1" ht="27" customHeight="1">
      <c r="B259" s="19"/>
      <c r="C259" s="104">
        <v>96</v>
      </c>
      <c r="D259" s="104" t="s">
        <v>130</v>
      </c>
      <c r="E259" s="105" t="s">
        <v>250</v>
      </c>
      <c r="F259" s="223" t="s">
        <v>251</v>
      </c>
      <c r="G259" s="224"/>
      <c r="H259" s="224"/>
      <c r="I259" s="224"/>
      <c r="J259" s="106" t="s">
        <v>149</v>
      </c>
      <c r="K259" s="107">
        <v>32.6</v>
      </c>
      <c r="L259" s="225"/>
      <c r="M259" s="224"/>
      <c r="N259" s="225">
        <f>K259*L259</f>
        <v>0</v>
      </c>
      <c r="O259" s="224"/>
      <c r="P259" s="224"/>
      <c r="Q259" s="224"/>
      <c r="R259" s="20"/>
      <c r="T259" s="108"/>
      <c r="U259" s="26" t="s">
        <v>37</v>
      </c>
      <c r="V259" s="109">
        <v>0.13</v>
      </c>
      <c r="W259" s="109">
        <f>$V$259*$K$259</f>
        <v>4.238</v>
      </c>
      <c r="X259" s="109">
        <v>0</v>
      </c>
      <c r="Y259" s="109">
        <f>$X$259*$K$259</f>
        <v>0</v>
      </c>
      <c r="Z259" s="109">
        <v>0</v>
      </c>
      <c r="AA259" s="110">
        <f>$Z$259*$K$259</f>
        <v>0</v>
      </c>
      <c r="AC259" s="138"/>
      <c r="AD259" s="138"/>
      <c r="AE259" s="138"/>
      <c r="AF259" s="138"/>
      <c r="AG259" s="138"/>
      <c r="AH259" s="138"/>
      <c r="AI259" s="138"/>
      <c r="AJ259" s="138"/>
      <c r="AR259" s="6" t="s">
        <v>134</v>
      </c>
      <c r="AT259" s="6" t="s">
        <v>130</v>
      </c>
      <c r="AU259" s="6" t="s">
        <v>82</v>
      </c>
      <c r="AY259" s="6" t="s">
        <v>129</v>
      </c>
      <c r="BE259" s="111">
        <f>IF($U$259="základní",$N$259,0)</f>
        <v>0</v>
      </c>
      <c r="BF259" s="111">
        <f>IF($U$259="snížená",$N$259,0)</f>
        <v>0</v>
      </c>
      <c r="BG259" s="111">
        <f>IF($U$259="zákl. přenesená",$N$259,0)</f>
        <v>0</v>
      </c>
      <c r="BH259" s="111">
        <f>IF($U$259="sníž. přenesená",$N$259,0)</f>
        <v>0</v>
      </c>
      <c r="BI259" s="111">
        <f>IF($U$259="nulová",$N$259,0)</f>
        <v>0</v>
      </c>
      <c r="BJ259" s="6" t="s">
        <v>18</v>
      </c>
      <c r="BK259" s="112">
        <f>ROUND($L$259*$K$259,3)</f>
        <v>0</v>
      </c>
      <c r="BL259" s="6" t="s">
        <v>134</v>
      </c>
    </row>
    <row r="260" spans="2:64" s="6" customFormat="1" ht="15.75" customHeight="1">
      <c r="B260" s="19"/>
      <c r="C260" s="125">
        <v>97</v>
      </c>
      <c r="D260" s="125" t="s">
        <v>212</v>
      </c>
      <c r="E260" s="126" t="s">
        <v>252</v>
      </c>
      <c r="F260" s="234" t="s">
        <v>253</v>
      </c>
      <c r="G260" s="235"/>
      <c r="H260" s="235"/>
      <c r="I260" s="235"/>
      <c r="J260" s="127" t="s">
        <v>133</v>
      </c>
      <c r="K260" s="128">
        <v>3.2</v>
      </c>
      <c r="L260" s="236"/>
      <c r="M260" s="235"/>
      <c r="N260" s="236">
        <f>K260*L260</f>
        <v>0</v>
      </c>
      <c r="O260" s="224"/>
      <c r="P260" s="224"/>
      <c r="Q260" s="224"/>
      <c r="R260" s="20"/>
      <c r="T260" s="108"/>
      <c r="U260" s="26" t="s">
        <v>37</v>
      </c>
      <c r="V260" s="109">
        <v>0</v>
      </c>
      <c r="W260" s="109">
        <f>$V$260*$K$260</f>
        <v>0</v>
      </c>
      <c r="X260" s="109">
        <v>0.6</v>
      </c>
      <c r="Y260" s="109">
        <f>$X$260*$K$260</f>
        <v>1.92</v>
      </c>
      <c r="Z260" s="109">
        <v>0</v>
      </c>
      <c r="AA260" s="110">
        <f>$Z$260*$K$260</f>
        <v>0</v>
      </c>
      <c r="AC260" s="138"/>
      <c r="AD260" s="138"/>
      <c r="AE260" s="138"/>
      <c r="AF260" s="138"/>
      <c r="AG260" s="138"/>
      <c r="AH260" s="138"/>
      <c r="AI260" s="138"/>
      <c r="AJ260" s="138"/>
      <c r="AR260" s="6" t="s">
        <v>153</v>
      </c>
      <c r="AT260" s="6" t="s">
        <v>212</v>
      </c>
      <c r="AU260" s="6" t="s">
        <v>82</v>
      </c>
      <c r="AY260" s="6" t="s">
        <v>129</v>
      </c>
      <c r="BE260" s="111">
        <f>IF($U$260="základní",$N$260,0)</f>
        <v>0</v>
      </c>
      <c r="BF260" s="111">
        <f>IF($U$260="snížená",$N$260,0)</f>
        <v>0</v>
      </c>
      <c r="BG260" s="111">
        <f>IF($U$260="zákl. přenesená",$N$260,0)</f>
        <v>0</v>
      </c>
      <c r="BH260" s="111">
        <f>IF($U$260="sníž. přenesená",$N$260,0)</f>
        <v>0</v>
      </c>
      <c r="BI260" s="111">
        <f>IF($U$260="nulová",$N$260,0)</f>
        <v>0</v>
      </c>
      <c r="BJ260" s="6" t="s">
        <v>18</v>
      </c>
      <c r="BK260" s="112">
        <f>ROUND($L$260*$K$260,3)</f>
        <v>0</v>
      </c>
      <c r="BL260" s="6" t="s">
        <v>134</v>
      </c>
    </row>
    <row r="261" spans="2:64" s="6" customFormat="1" ht="27" customHeight="1">
      <c r="B261" s="19"/>
      <c r="C261" s="104">
        <v>98</v>
      </c>
      <c r="D261" s="104" t="s">
        <v>130</v>
      </c>
      <c r="E261" s="105" t="s">
        <v>254</v>
      </c>
      <c r="F261" s="223" t="s">
        <v>255</v>
      </c>
      <c r="G261" s="224"/>
      <c r="H261" s="224"/>
      <c r="I261" s="224"/>
      <c r="J261" s="106" t="s">
        <v>149</v>
      </c>
      <c r="K261" s="107">
        <v>32.6</v>
      </c>
      <c r="L261" s="225"/>
      <c r="M261" s="224"/>
      <c r="N261" s="225">
        <f>K261*L261</f>
        <v>0</v>
      </c>
      <c r="O261" s="224"/>
      <c r="P261" s="224"/>
      <c r="Q261" s="224"/>
      <c r="R261" s="20"/>
      <c r="T261" s="108"/>
      <c r="U261" s="26" t="s">
        <v>37</v>
      </c>
      <c r="V261" s="109">
        <v>0.058</v>
      </c>
      <c r="W261" s="109">
        <f>$V$261*$K$261</f>
        <v>1.8908000000000003</v>
      </c>
      <c r="X261" s="109">
        <v>0</v>
      </c>
      <c r="Y261" s="109">
        <f>$X$261*$K$261</f>
        <v>0</v>
      </c>
      <c r="Z261" s="109">
        <v>0</v>
      </c>
      <c r="AA261" s="110">
        <f>$Z$261*$K$261</f>
        <v>0</v>
      </c>
      <c r="AC261" s="138"/>
      <c r="AD261" s="138"/>
      <c r="AE261" s="138"/>
      <c r="AF261" s="138"/>
      <c r="AG261" s="138"/>
      <c r="AH261" s="138"/>
      <c r="AI261" s="138"/>
      <c r="AJ261" s="138"/>
      <c r="AR261" s="6" t="s">
        <v>134</v>
      </c>
      <c r="AT261" s="6" t="s">
        <v>130</v>
      </c>
      <c r="AU261" s="6" t="s">
        <v>82</v>
      </c>
      <c r="AY261" s="6" t="s">
        <v>129</v>
      </c>
      <c r="BE261" s="111">
        <f>IF($U$261="základní",$N$261,0)</f>
        <v>0</v>
      </c>
      <c r="BF261" s="111">
        <f>IF($U$261="snížená",$N$261,0)</f>
        <v>0</v>
      </c>
      <c r="BG261" s="111">
        <f>IF($U$261="zákl. přenesená",$N$261,0)</f>
        <v>0</v>
      </c>
      <c r="BH261" s="111">
        <f>IF($U$261="sníž. přenesená",$N$261,0)</f>
        <v>0</v>
      </c>
      <c r="BI261" s="111">
        <f>IF($U$261="nulová",$N$261,0)</f>
        <v>0</v>
      </c>
      <c r="BJ261" s="6" t="s">
        <v>18</v>
      </c>
      <c r="BK261" s="112">
        <f>ROUND($L$261*$K$261,3)</f>
        <v>0</v>
      </c>
      <c r="BL261" s="6" t="s">
        <v>134</v>
      </c>
    </row>
    <row r="262" spans="2:64" s="6" customFormat="1" ht="15.75" customHeight="1">
      <c r="B262" s="19"/>
      <c r="C262" s="125">
        <v>99</v>
      </c>
      <c r="D262" s="125" t="s">
        <v>212</v>
      </c>
      <c r="E262" s="126" t="s">
        <v>256</v>
      </c>
      <c r="F262" s="234" t="s">
        <v>257</v>
      </c>
      <c r="G262" s="235"/>
      <c r="H262" s="235"/>
      <c r="I262" s="235"/>
      <c r="J262" s="127" t="s">
        <v>258</v>
      </c>
      <c r="K262" s="128">
        <v>8.15</v>
      </c>
      <c r="L262" s="236"/>
      <c r="M262" s="235"/>
      <c r="N262" s="236">
        <f>K262*L262</f>
        <v>0</v>
      </c>
      <c r="O262" s="224"/>
      <c r="P262" s="224"/>
      <c r="Q262" s="224"/>
      <c r="R262" s="20"/>
      <c r="T262" s="108"/>
      <c r="U262" s="26" t="s">
        <v>37</v>
      </c>
      <c r="V262" s="109">
        <v>0</v>
      </c>
      <c r="W262" s="109">
        <f>$V$262*$K$262</f>
        <v>0</v>
      </c>
      <c r="X262" s="109">
        <v>0.001</v>
      </c>
      <c r="Y262" s="109">
        <f>$X$262*$K$262</f>
        <v>0.008150000000000001</v>
      </c>
      <c r="Z262" s="109">
        <v>0</v>
      </c>
      <c r="AA262" s="110">
        <f>$Z$262*$K$262</f>
        <v>0</v>
      </c>
      <c r="AC262" s="138"/>
      <c r="AD262" s="138"/>
      <c r="AE262" s="138"/>
      <c r="AF262" s="138"/>
      <c r="AG262" s="138"/>
      <c r="AH262" s="138"/>
      <c r="AI262" s="138"/>
      <c r="AJ262" s="138"/>
      <c r="AR262" s="6" t="s">
        <v>153</v>
      </c>
      <c r="AT262" s="6" t="s">
        <v>212</v>
      </c>
      <c r="AU262" s="6" t="s">
        <v>82</v>
      </c>
      <c r="AY262" s="6" t="s">
        <v>129</v>
      </c>
      <c r="BE262" s="111">
        <f>IF($U$262="základní",$N$262,0)</f>
        <v>0</v>
      </c>
      <c r="BF262" s="111">
        <f>IF($U$262="snížená",$N$262,0)</f>
        <v>0</v>
      </c>
      <c r="BG262" s="111">
        <f>IF($U$262="zákl. přenesená",$N$262,0)</f>
        <v>0</v>
      </c>
      <c r="BH262" s="111">
        <f>IF($U$262="sníž. přenesená",$N$262,0)</f>
        <v>0</v>
      </c>
      <c r="BI262" s="111">
        <f>IF($U$262="nulová",$N$262,0)</f>
        <v>0</v>
      </c>
      <c r="BJ262" s="6" t="s">
        <v>18</v>
      </c>
      <c r="BK262" s="112">
        <f>ROUND($L$262*$K$262,3)</f>
        <v>0</v>
      </c>
      <c r="BL262" s="6" t="s">
        <v>134</v>
      </c>
    </row>
    <row r="263" spans="2:51" s="6" customFormat="1" ht="15.75" customHeight="1">
      <c r="B263" s="113"/>
      <c r="E263" s="114"/>
      <c r="F263" s="230" t="s">
        <v>259</v>
      </c>
      <c r="G263" s="231"/>
      <c r="H263" s="231"/>
      <c r="I263" s="231"/>
      <c r="K263" s="115">
        <v>8.15</v>
      </c>
      <c r="R263" s="116"/>
      <c r="T263" s="117"/>
      <c r="AA263" s="118"/>
      <c r="AC263" s="138"/>
      <c r="AD263" s="138"/>
      <c r="AE263" s="138"/>
      <c r="AF263" s="138"/>
      <c r="AG263" s="138"/>
      <c r="AH263" s="138"/>
      <c r="AI263" s="138"/>
      <c r="AJ263" s="138"/>
      <c r="AT263" s="114" t="s">
        <v>142</v>
      </c>
      <c r="AU263" s="114" t="s">
        <v>82</v>
      </c>
      <c r="AV263" s="114" t="s">
        <v>82</v>
      </c>
      <c r="AW263" s="114" t="s">
        <v>90</v>
      </c>
      <c r="AX263" s="114" t="s">
        <v>18</v>
      </c>
      <c r="AY263" s="114" t="s">
        <v>129</v>
      </c>
    </row>
    <row r="264" spans="2:64" s="6" customFormat="1" ht="39" customHeight="1">
      <c r="B264" s="19"/>
      <c r="C264" s="104">
        <v>100</v>
      </c>
      <c r="D264" s="104" t="s">
        <v>130</v>
      </c>
      <c r="E264" s="105" t="s">
        <v>229</v>
      </c>
      <c r="F264" s="223" t="s">
        <v>230</v>
      </c>
      <c r="G264" s="224"/>
      <c r="H264" s="224"/>
      <c r="I264" s="224"/>
      <c r="J264" s="106" t="s">
        <v>187</v>
      </c>
      <c r="K264" s="107">
        <v>1.928</v>
      </c>
      <c r="L264" s="225"/>
      <c r="M264" s="224"/>
      <c r="N264" s="225">
        <f>K264*L264</f>
        <v>0</v>
      </c>
      <c r="O264" s="224"/>
      <c r="P264" s="224"/>
      <c r="Q264" s="224"/>
      <c r="R264" s="20"/>
      <c r="T264" s="108"/>
      <c r="U264" s="26" t="s">
        <v>37</v>
      </c>
      <c r="V264" s="109">
        <v>0.066</v>
      </c>
      <c r="W264" s="109">
        <f>$V$264*$K$264</f>
        <v>0.127248</v>
      </c>
      <c r="X264" s="109">
        <v>0</v>
      </c>
      <c r="Y264" s="109">
        <f>$X$264*$K$264</f>
        <v>0</v>
      </c>
      <c r="Z264" s="109">
        <v>0</v>
      </c>
      <c r="AA264" s="110">
        <f>$Z$264*$K$264</f>
        <v>0</v>
      </c>
      <c r="AC264" s="138"/>
      <c r="AD264" s="138"/>
      <c r="AE264" s="138"/>
      <c r="AF264" s="138"/>
      <c r="AG264" s="138"/>
      <c r="AH264" s="138"/>
      <c r="AI264" s="138"/>
      <c r="AJ264" s="138"/>
      <c r="AR264" s="6" t="s">
        <v>134</v>
      </c>
      <c r="AT264" s="6" t="s">
        <v>130</v>
      </c>
      <c r="AU264" s="6" t="s">
        <v>82</v>
      </c>
      <c r="AY264" s="6" t="s">
        <v>129</v>
      </c>
      <c r="BE264" s="111">
        <f>IF($U$264="základní",$N$264,0)</f>
        <v>0</v>
      </c>
      <c r="BF264" s="111">
        <f>IF($U$264="snížená",$N$264,0)</f>
        <v>0</v>
      </c>
      <c r="BG264" s="111">
        <f>IF($U$264="zákl. přenesená",$N$264,0)</f>
        <v>0</v>
      </c>
      <c r="BH264" s="111">
        <f>IF($U$264="sníž. přenesená",$N$264,0)</f>
        <v>0</v>
      </c>
      <c r="BI264" s="111">
        <f>IF($U$264="nulová",$N$264,0)</f>
        <v>0</v>
      </c>
      <c r="BJ264" s="6" t="s">
        <v>18</v>
      </c>
      <c r="BK264" s="112">
        <f>ROUND($L$264*$K$264,3)</f>
        <v>0</v>
      </c>
      <c r="BL264" s="6" t="s">
        <v>134</v>
      </c>
    </row>
    <row r="265" spans="2:63" s="94" customFormat="1" ht="30.75" customHeight="1">
      <c r="B265" s="95"/>
      <c r="D265" s="103" t="s">
        <v>108</v>
      </c>
      <c r="N265" s="229">
        <f>SUM(N266:Q269)</f>
        <v>0</v>
      </c>
      <c r="O265" s="228"/>
      <c r="P265" s="228"/>
      <c r="Q265" s="228"/>
      <c r="R265" s="98"/>
      <c r="T265" s="99"/>
      <c r="W265" s="100">
        <f>SUM($W$266:$W$269)</f>
        <v>158.885694</v>
      </c>
      <c r="Y265" s="100">
        <f>SUM($Y$266:$Y$269)</f>
        <v>22.506240000000002</v>
      </c>
      <c r="AA265" s="101">
        <f>SUM($AA$266:$AA$269)</f>
        <v>0</v>
      </c>
      <c r="AC265" s="140"/>
      <c r="AD265" s="140"/>
      <c r="AE265" s="140"/>
      <c r="AF265" s="140"/>
      <c r="AG265" s="140"/>
      <c r="AH265" s="140"/>
      <c r="AI265" s="140"/>
      <c r="AJ265" s="140"/>
      <c r="AR265" s="97" t="s">
        <v>18</v>
      </c>
      <c r="AT265" s="97" t="s">
        <v>71</v>
      </c>
      <c r="AU265" s="97" t="s">
        <v>18</v>
      </c>
      <c r="AY265" s="97" t="s">
        <v>129</v>
      </c>
      <c r="BK265" s="102">
        <f>SUM($BK$266:$BK$269)</f>
        <v>0</v>
      </c>
    </row>
    <row r="266" spans="2:64" s="6" customFormat="1" ht="27" customHeight="1">
      <c r="B266" s="19"/>
      <c r="C266" s="104">
        <v>101</v>
      </c>
      <c r="D266" s="104" t="s">
        <v>130</v>
      </c>
      <c r="E266" s="105" t="s">
        <v>260</v>
      </c>
      <c r="F266" s="223" t="s">
        <v>261</v>
      </c>
      <c r="G266" s="224"/>
      <c r="H266" s="224"/>
      <c r="I266" s="224"/>
      <c r="J266" s="106" t="s">
        <v>183</v>
      </c>
      <c r="K266" s="107">
        <v>18</v>
      </c>
      <c r="L266" s="225"/>
      <c r="M266" s="224"/>
      <c r="N266" s="225">
        <f>K266*L266</f>
        <v>0</v>
      </c>
      <c r="O266" s="224"/>
      <c r="P266" s="224"/>
      <c r="Q266" s="224"/>
      <c r="R266" s="20"/>
      <c r="T266" s="108"/>
      <c r="U266" s="26" t="s">
        <v>37</v>
      </c>
      <c r="V266" s="109">
        <v>3.817</v>
      </c>
      <c r="W266" s="109">
        <f>$V$266*$K$266</f>
        <v>68.706</v>
      </c>
      <c r="X266" s="109">
        <v>0.4208</v>
      </c>
      <c r="Y266" s="109">
        <f>$X$266*$K$266</f>
        <v>7.5744</v>
      </c>
      <c r="Z266" s="109">
        <v>0</v>
      </c>
      <c r="AA266" s="110">
        <f>$Z$266*$K$266</f>
        <v>0</v>
      </c>
      <c r="AC266" s="138"/>
      <c r="AD266" s="138"/>
      <c r="AE266" s="138"/>
      <c r="AF266" s="138"/>
      <c r="AG266" s="138"/>
      <c r="AH266" s="138"/>
      <c r="AI266" s="138"/>
      <c r="AJ266" s="138"/>
      <c r="AR266" s="6" t="s">
        <v>134</v>
      </c>
      <c r="AT266" s="6" t="s">
        <v>130</v>
      </c>
      <c r="AU266" s="6" t="s">
        <v>82</v>
      </c>
      <c r="AY266" s="6" t="s">
        <v>129</v>
      </c>
      <c r="BE266" s="111">
        <f>IF($U$266="základní",$N$266,0)</f>
        <v>0</v>
      </c>
      <c r="BF266" s="111">
        <f>IF($U$266="snížená",$N$266,0)</f>
        <v>0</v>
      </c>
      <c r="BG266" s="111">
        <f>IF($U$266="zákl. přenesená",$N$266,0)</f>
        <v>0</v>
      </c>
      <c r="BH266" s="111">
        <f>IF($U$266="sníž. přenesená",$N$266,0)</f>
        <v>0</v>
      </c>
      <c r="BI266" s="111">
        <f>IF($U$266="nulová",$N$266,0)</f>
        <v>0</v>
      </c>
      <c r="BJ266" s="6" t="s">
        <v>18</v>
      </c>
      <c r="BK266" s="112">
        <f>ROUND($L$266*$K$266,3)</f>
        <v>0</v>
      </c>
      <c r="BL266" s="6" t="s">
        <v>134</v>
      </c>
    </row>
    <row r="267" spans="2:64" s="6" customFormat="1" ht="39" customHeight="1">
      <c r="B267" s="19"/>
      <c r="C267" s="104">
        <v>102</v>
      </c>
      <c r="D267" s="104" t="s">
        <v>130</v>
      </c>
      <c r="E267" s="105" t="s">
        <v>262</v>
      </c>
      <c r="F267" s="223" t="s">
        <v>263</v>
      </c>
      <c r="G267" s="224"/>
      <c r="H267" s="224"/>
      <c r="I267" s="224"/>
      <c r="J267" s="106" t="s">
        <v>183</v>
      </c>
      <c r="K267" s="107">
        <v>48</v>
      </c>
      <c r="L267" s="225"/>
      <c r="M267" s="224"/>
      <c r="N267" s="225">
        <f>K267*L267</f>
        <v>0</v>
      </c>
      <c r="O267" s="224"/>
      <c r="P267" s="224"/>
      <c r="Q267" s="224"/>
      <c r="R267" s="20"/>
      <c r="T267" s="108"/>
      <c r="U267" s="26" t="s">
        <v>37</v>
      </c>
      <c r="V267" s="109">
        <v>1.551</v>
      </c>
      <c r="W267" s="109">
        <f>$V$267*$K$267</f>
        <v>74.448</v>
      </c>
      <c r="X267" s="109">
        <v>0.31108</v>
      </c>
      <c r="Y267" s="109">
        <f>$X$267*$K$267</f>
        <v>14.931840000000001</v>
      </c>
      <c r="Z267" s="109">
        <v>0</v>
      </c>
      <c r="AA267" s="110">
        <f>$Z$267*$K$267</f>
        <v>0</v>
      </c>
      <c r="AC267" s="138"/>
      <c r="AD267" s="138"/>
      <c r="AE267" s="138"/>
      <c r="AF267" s="138"/>
      <c r="AG267" s="138"/>
      <c r="AH267" s="138"/>
      <c r="AI267" s="138"/>
      <c r="AJ267" s="138"/>
      <c r="AR267" s="6" t="s">
        <v>134</v>
      </c>
      <c r="AT267" s="6" t="s">
        <v>130</v>
      </c>
      <c r="AU267" s="6" t="s">
        <v>82</v>
      </c>
      <c r="AY267" s="6" t="s">
        <v>129</v>
      </c>
      <c r="BE267" s="111">
        <f>IF($U$267="základní",$N$267,0)</f>
        <v>0</v>
      </c>
      <c r="BF267" s="111">
        <f>IF($U$267="snížená",$N$267,0)</f>
        <v>0</v>
      </c>
      <c r="BG267" s="111">
        <f>IF($U$267="zákl. přenesená",$N$267,0)</f>
        <v>0</v>
      </c>
      <c r="BH267" s="111">
        <f>IF($U$267="sníž. přenesená",$N$267,0)</f>
        <v>0</v>
      </c>
      <c r="BI267" s="111">
        <f>IF($U$267="nulová",$N$267,0)</f>
        <v>0</v>
      </c>
      <c r="BJ267" s="6" t="s">
        <v>18</v>
      </c>
      <c r="BK267" s="112">
        <f>ROUND($L$267*$K$267,3)</f>
        <v>0</v>
      </c>
      <c r="BL267" s="6" t="s">
        <v>134</v>
      </c>
    </row>
    <row r="268" spans="2:51" s="6" customFormat="1" ht="15.75" customHeight="1">
      <c r="B268" s="113"/>
      <c r="E268" s="114"/>
      <c r="F268" s="230" t="s">
        <v>264</v>
      </c>
      <c r="G268" s="231"/>
      <c r="H268" s="231"/>
      <c r="I268" s="231"/>
      <c r="K268" s="115">
        <v>48</v>
      </c>
      <c r="R268" s="116"/>
      <c r="T268" s="117"/>
      <c r="AA268" s="118"/>
      <c r="AC268" s="138"/>
      <c r="AD268" s="138"/>
      <c r="AE268" s="138"/>
      <c r="AF268" s="138"/>
      <c r="AG268" s="138"/>
      <c r="AH268" s="138"/>
      <c r="AI268" s="138"/>
      <c r="AJ268" s="138"/>
      <c r="AT268" s="114" t="s">
        <v>142</v>
      </c>
      <c r="AU268" s="114" t="s">
        <v>82</v>
      </c>
      <c r="AV268" s="114" t="s">
        <v>82</v>
      </c>
      <c r="AW268" s="114" t="s">
        <v>90</v>
      </c>
      <c r="AX268" s="114" t="s">
        <v>18</v>
      </c>
      <c r="AY268" s="114" t="s">
        <v>129</v>
      </c>
    </row>
    <row r="269" spans="2:64" s="6" customFormat="1" ht="27" customHeight="1">
      <c r="B269" s="19"/>
      <c r="C269" s="104">
        <v>103</v>
      </c>
      <c r="D269" s="104" t="s">
        <v>130</v>
      </c>
      <c r="E269" s="105" t="s">
        <v>265</v>
      </c>
      <c r="F269" s="223" t="s">
        <v>266</v>
      </c>
      <c r="G269" s="224"/>
      <c r="H269" s="224"/>
      <c r="I269" s="224"/>
      <c r="J269" s="106" t="s">
        <v>187</v>
      </c>
      <c r="K269" s="107">
        <v>22.506</v>
      </c>
      <c r="L269" s="225"/>
      <c r="M269" s="224"/>
      <c r="N269" s="225">
        <f>K269*L269</f>
        <v>0</v>
      </c>
      <c r="O269" s="224"/>
      <c r="P269" s="224"/>
      <c r="Q269" s="224"/>
      <c r="R269" s="20"/>
      <c r="T269" s="108"/>
      <c r="U269" s="26" t="s">
        <v>37</v>
      </c>
      <c r="V269" s="109">
        <v>0.699</v>
      </c>
      <c r="W269" s="109">
        <f>$V$269*$K$269</f>
        <v>15.731694</v>
      </c>
      <c r="X269" s="109">
        <v>0</v>
      </c>
      <c r="Y269" s="109">
        <f>$X$269*$K$269</f>
        <v>0</v>
      </c>
      <c r="Z269" s="109">
        <v>0</v>
      </c>
      <c r="AA269" s="110">
        <f>$Z$269*$K$269</f>
        <v>0</v>
      </c>
      <c r="AC269" s="138"/>
      <c r="AD269" s="138"/>
      <c r="AE269" s="138"/>
      <c r="AF269" s="138"/>
      <c r="AG269" s="138"/>
      <c r="AH269" s="138"/>
      <c r="AI269" s="138"/>
      <c r="AJ269" s="138"/>
      <c r="AR269" s="6" t="s">
        <v>134</v>
      </c>
      <c r="AT269" s="6" t="s">
        <v>130</v>
      </c>
      <c r="AU269" s="6" t="s">
        <v>82</v>
      </c>
      <c r="AY269" s="6" t="s">
        <v>129</v>
      </c>
      <c r="BE269" s="111">
        <f>IF($U$269="základní",$N$269,0)</f>
        <v>0</v>
      </c>
      <c r="BF269" s="111">
        <f>IF($U$269="snížená",$N$269,0)</f>
        <v>0</v>
      </c>
      <c r="BG269" s="111">
        <f>IF($U$269="zákl. přenesená",$N$269,0)</f>
        <v>0</v>
      </c>
      <c r="BH269" s="111">
        <f>IF($U$269="sníž. přenesená",$N$269,0)</f>
        <v>0</v>
      </c>
      <c r="BI269" s="111">
        <f>IF($U$269="nulová",$N$269,0)</f>
        <v>0</v>
      </c>
      <c r="BJ269" s="6" t="s">
        <v>18</v>
      </c>
      <c r="BK269" s="112">
        <f>ROUND($L$269*$K$269,3)</f>
        <v>0</v>
      </c>
      <c r="BL269" s="6" t="s">
        <v>134</v>
      </c>
    </row>
    <row r="270" spans="2:63" s="94" customFormat="1" ht="30.75" customHeight="1">
      <c r="B270" s="95"/>
      <c r="D270" s="103" t="s">
        <v>109</v>
      </c>
      <c r="N270" s="229">
        <f>SUM(N271:Q283)</f>
        <v>0</v>
      </c>
      <c r="O270" s="228"/>
      <c r="P270" s="228"/>
      <c r="Q270" s="228"/>
      <c r="R270" s="98"/>
      <c r="T270" s="99"/>
      <c r="W270" s="100">
        <f>SUM($W$271:$W$283)</f>
        <v>188.729964</v>
      </c>
      <c r="Y270" s="100">
        <f>SUM($Y$271:$Y$283)</f>
        <v>13.441680000000002</v>
      </c>
      <c r="AA270" s="101">
        <f>SUM($AA$271:$AA$283)</f>
        <v>0</v>
      </c>
      <c r="AC270" s="140"/>
      <c r="AD270" s="140"/>
      <c r="AE270" s="140"/>
      <c r="AF270" s="140"/>
      <c r="AG270" s="140"/>
      <c r="AH270" s="140"/>
      <c r="AI270" s="140"/>
      <c r="AJ270" s="140"/>
      <c r="AR270" s="97" t="s">
        <v>18</v>
      </c>
      <c r="AT270" s="97" t="s">
        <v>71</v>
      </c>
      <c r="AU270" s="97" t="s">
        <v>18</v>
      </c>
      <c r="AY270" s="97" t="s">
        <v>129</v>
      </c>
      <c r="BK270" s="102">
        <f>SUM($BK$271:$BK$283)</f>
        <v>0</v>
      </c>
    </row>
    <row r="271" spans="2:64" s="6" customFormat="1" ht="15.75" customHeight="1">
      <c r="B271" s="19"/>
      <c r="C271" s="104">
        <v>104</v>
      </c>
      <c r="D271" s="104" t="s">
        <v>130</v>
      </c>
      <c r="E271" s="105" t="s">
        <v>267</v>
      </c>
      <c r="F271" s="223" t="s">
        <v>268</v>
      </c>
      <c r="G271" s="224"/>
      <c r="H271" s="224"/>
      <c r="I271" s="224"/>
      <c r="J271" s="106" t="s">
        <v>183</v>
      </c>
      <c r="K271" s="107">
        <v>21</v>
      </c>
      <c r="L271" s="225"/>
      <c r="M271" s="224"/>
      <c r="N271" s="225">
        <f aca="true" t="shared" si="2" ref="N271:N283">K271*L271</f>
        <v>0</v>
      </c>
      <c r="O271" s="224"/>
      <c r="P271" s="224"/>
      <c r="Q271" s="224"/>
      <c r="R271" s="20"/>
      <c r="T271" s="108"/>
      <c r="U271" s="26" t="s">
        <v>37</v>
      </c>
      <c r="V271" s="109">
        <v>0.342</v>
      </c>
      <c r="W271" s="109">
        <f>$V$271*$K$271</f>
        <v>7.182</v>
      </c>
      <c r="X271" s="109">
        <v>0.0103</v>
      </c>
      <c r="Y271" s="109">
        <f>$X$271*$K$271</f>
        <v>0.2163</v>
      </c>
      <c r="Z271" s="109">
        <v>0</v>
      </c>
      <c r="AA271" s="110">
        <f>$Z$271*$K$271</f>
        <v>0</v>
      </c>
      <c r="AC271" s="138"/>
      <c r="AD271" s="138"/>
      <c r="AE271" s="138"/>
      <c r="AF271" s="138"/>
      <c r="AG271" s="138"/>
      <c r="AH271" s="138"/>
      <c r="AI271" s="138"/>
      <c r="AJ271" s="138"/>
      <c r="AR271" s="6" t="s">
        <v>134</v>
      </c>
      <c r="AT271" s="6" t="s">
        <v>130</v>
      </c>
      <c r="AU271" s="6" t="s">
        <v>82</v>
      </c>
      <c r="AY271" s="6" t="s">
        <v>129</v>
      </c>
      <c r="BE271" s="111">
        <f>IF($U$271="základní",$N$271,0)</f>
        <v>0</v>
      </c>
      <c r="BF271" s="111">
        <f>IF($U$271="snížená",$N$271,0)</f>
        <v>0</v>
      </c>
      <c r="BG271" s="111">
        <f>IF($U$271="zákl. přenesená",$N$271,0)</f>
        <v>0</v>
      </c>
      <c r="BH271" s="111">
        <f>IF($U$271="sníž. přenesená",$N$271,0)</f>
        <v>0</v>
      </c>
      <c r="BI271" s="111">
        <f>IF($U$271="nulová",$N$271,0)</f>
        <v>0</v>
      </c>
      <c r="BJ271" s="6" t="s">
        <v>18</v>
      </c>
      <c r="BK271" s="112">
        <f>ROUND($L$271*$K$271,3)</f>
        <v>0</v>
      </c>
      <c r="BL271" s="6" t="s">
        <v>134</v>
      </c>
    </row>
    <row r="272" spans="2:64" s="6" customFormat="1" ht="15.75" customHeight="1">
      <c r="B272" s="19"/>
      <c r="C272" s="104">
        <v>105</v>
      </c>
      <c r="D272" s="104" t="s">
        <v>130</v>
      </c>
      <c r="E272" s="105" t="s">
        <v>269</v>
      </c>
      <c r="F272" s="223" t="s">
        <v>270</v>
      </c>
      <c r="G272" s="224"/>
      <c r="H272" s="224"/>
      <c r="I272" s="224"/>
      <c r="J272" s="106" t="s">
        <v>183</v>
      </c>
      <c r="K272" s="107">
        <v>21</v>
      </c>
      <c r="L272" s="225"/>
      <c r="M272" s="224"/>
      <c r="N272" s="225">
        <f t="shared" si="2"/>
        <v>0</v>
      </c>
      <c r="O272" s="224"/>
      <c r="P272" s="224"/>
      <c r="Q272" s="224"/>
      <c r="R272" s="20"/>
      <c r="T272" s="108"/>
      <c r="U272" s="26" t="s">
        <v>37</v>
      </c>
      <c r="V272" s="109">
        <v>0.367</v>
      </c>
      <c r="W272" s="109">
        <f>$V$272*$K$272</f>
        <v>7.707</v>
      </c>
      <c r="X272" s="109">
        <v>0.00795</v>
      </c>
      <c r="Y272" s="109">
        <f>$X$272*$K$272</f>
        <v>0.16695000000000002</v>
      </c>
      <c r="Z272" s="109">
        <v>0</v>
      </c>
      <c r="AA272" s="110">
        <f>$Z$272*$K$272</f>
        <v>0</v>
      </c>
      <c r="AC272" s="138"/>
      <c r="AD272" s="138"/>
      <c r="AE272" s="138"/>
      <c r="AF272" s="138"/>
      <c r="AG272" s="138"/>
      <c r="AH272" s="138"/>
      <c r="AI272" s="138"/>
      <c r="AJ272" s="138"/>
      <c r="AR272" s="6" t="s">
        <v>134</v>
      </c>
      <c r="AT272" s="6" t="s">
        <v>130</v>
      </c>
      <c r="AU272" s="6" t="s">
        <v>82</v>
      </c>
      <c r="AY272" s="6" t="s">
        <v>129</v>
      </c>
      <c r="BE272" s="111">
        <f>IF($U$272="základní",$N$272,0)</f>
        <v>0</v>
      </c>
      <c r="BF272" s="111">
        <f>IF($U$272="snížená",$N$272,0)</f>
        <v>0</v>
      </c>
      <c r="BG272" s="111">
        <f>IF($U$272="zákl. přenesená",$N$272,0)</f>
        <v>0</v>
      </c>
      <c r="BH272" s="111">
        <f>IF($U$272="sníž. přenesená",$N$272,0)</f>
        <v>0</v>
      </c>
      <c r="BI272" s="111">
        <f>IF($U$272="nulová",$N$272,0)</f>
        <v>0</v>
      </c>
      <c r="BJ272" s="6" t="s">
        <v>18</v>
      </c>
      <c r="BK272" s="112">
        <f>ROUND($L$272*$K$272,3)</f>
        <v>0</v>
      </c>
      <c r="BL272" s="6" t="s">
        <v>134</v>
      </c>
    </row>
    <row r="273" spans="2:64" s="6" customFormat="1" ht="28.5" customHeight="1">
      <c r="B273" s="19"/>
      <c r="C273" s="104">
        <v>106</v>
      </c>
      <c r="D273" s="104" t="s">
        <v>130</v>
      </c>
      <c r="E273" s="105" t="s">
        <v>312</v>
      </c>
      <c r="F273" s="223" t="s">
        <v>313</v>
      </c>
      <c r="G273" s="224"/>
      <c r="H273" s="224"/>
      <c r="I273" s="224"/>
      <c r="J273" s="106" t="s">
        <v>170</v>
      </c>
      <c r="K273" s="107">
        <v>36.3</v>
      </c>
      <c r="L273" s="225"/>
      <c r="M273" s="224"/>
      <c r="N273" s="225">
        <f t="shared" si="2"/>
        <v>0</v>
      </c>
      <c r="O273" s="224"/>
      <c r="P273" s="224"/>
      <c r="Q273" s="224"/>
      <c r="R273" s="20"/>
      <c r="T273" s="108"/>
      <c r="U273" s="26" t="s">
        <v>37</v>
      </c>
      <c r="V273" s="109">
        <v>0.367</v>
      </c>
      <c r="W273" s="109">
        <f>$V$272*$K$272</f>
        <v>7.707</v>
      </c>
      <c r="X273" s="109">
        <v>0.00795</v>
      </c>
      <c r="Y273" s="109">
        <f>$X$272*$K$272</f>
        <v>0.16695000000000002</v>
      </c>
      <c r="Z273" s="109">
        <v>0</v>
      </c>
      <c r="AA273" s="110">
        <f>$Z$272*$K$272</f>
        <v>0</v>
      </c>
      <c r="AC273" s="138"/>
      <c r="AD273" s="138"/>
      <c r="AE273" s="138"/>
      <c r="AF273" s="138"/>
      <c r="AG273" s="138"/>
      <c r="AH273" s="138"/>
      <c r="AI273" s="138"/>
      <c r="AJ273" s="138"/>
      <c r="AR273" s="6" t="s">
        <v>134</v>
      </c>
      <c r="AT273" s="6" t="s">
        <v>130</v>
      </c>
      <c r="AU273" s="6" t="s">
        <v>82</v>
      </c>
      <c r="AY273" s="6" t="s">
        <v>129</v>
      </c>
      <c r="BE273" s="111">
        <f>IF($U$272="základní",$N$272,0)</f>
        <v>0</v>
      </c>
      <c r="BF273" s="111">
        <f>IF($U$272="snížená",$N$272,0)</f>
        <v>0</v>
      </c>
      <c r="BG273" s="111">
        <f>IF($U$272="zákl. přenesená",$N$272,0)</f>
        <v>0</v>
      </c>
      <c r="BH273" s="111">
        <f>IF($U$272="sníž. přenesená",$N$272,0)</f>
        <v>0</v>
      </c>
      <c r="BI273" s="111">
        <f>IF($U$272="nulová",$N$272,0)</f>
        <v>0</v>
      </c>
      <c r="BJ273" s="6" t="s">
        <v>18</v>
      </c>
      <c r="BK273" s="112">
        <f>ROUND($L$272*$K$272,3)</f>
        <v>0</v>
      </c>
      <c r="BL273" s="6" t="s">
        <v>134</v>
      </c>
    </row>
    <row r="274" spans="2:64" s="6" customFormat="1" ht="28.5" customHeight="1">
      <c r="B274" s="19"/>
      <c r="C274" s="104">
        <v>107</v>
      </c>
      <c r="D274" s="104" t="s">
        <v>130</v>
      </c>
      <c r="E274" s="105" t="s">
        <v>314</v>
      </c>
      <c r="F274" s="223" t="s">
        <v>315</v>
      </c>
      <c r="G274" s="224"/>
      <c r="H274" s="224"/>
      <c r="I274" s="224"/>
      <c r="J274" s="106" t="s">
        <v>170</v>
      </c>
      <c r="K274" s="107">
        <v>36.3</v>
      </c>
      <c r="L274" s="225"/>
      <c r="M274" s="224"/>
      <c r="N274" s="225">
        <f t="shared" si="2"/>
        <v>0</v>
      </c>
      <c r="O274" s="224"/>
      <c r="P274" s="224"/>
      <c r="Q274" s="224"/>
      <c r="R274" s="20"/>
      <c r="T274" s="108"/>
      <c r="U274" s="26" t="s">
        <v>37</v>
      </c>
      <c r="V274" s="109">
        <v>0.367</v>
      </c>
      <c r="W274" s="109">
        <f>$V$272*$K$272</f>
        <v>7.707</v>
      </c>
      <c r="X274" s="109">
        <v>0.00795</v>
      </c>
      <c r="Y274" s="109">
        <f>$X$272*$K$272</f>
        <v>0.16695000000000002</v>
      </c>
      <c r="Z274" s="109">
        <v>0</v>
      </c>
      <c r="AA274" s="110">
        <f>$Z$272*$K$272</f>
        <v>0</v>
      </c>
      <c r="AC274" s="138"/>
      <c r="AD274" s="138"/>
      <c r="AE274" s="138"/>
      <c r="AF274" s="138"/>
      <c r="AG274" s="138"/>
      <c r="AH274" s="138"/>
      <c r="AI274" s="138"/>
      <c r="AJ274" s="138"/>
      <c r="AR274" s="6" t="s">
        <v>134</v>
      </c>
      <c r="AT274" s="6" t="s">
        <v>130</v>
      </c>
      <c r="AU274" s="6" t="s">
        <v>82</v>
      </c>
      <c r="AY274" s="6" t="s">
        <v>129</v>
      </c>
      <c r="BE274" s="111">
        <f>IF($U$272="základní",$N$272,0)</f>
        <v>0</v>
      </c>
      <c r="BF274" s="111">
        <f>IF($U$272="snížená",$N$272,0)</f>
        <v>0</v>
      </c>
      <c r="BG274" s="111">
        <f>IF($U$272="zákl. přenesená",$N$272,0)</f>
        <v>0</v>
      </c>
      <c r="BH274" s="111">
        <f>IF($U$272="sníž. přenesená",$N$272,0)</f>
        <v>0</v>
      </c>
      <c r="BI274" s="111">
        <f>IF($U$272="nulová",$N$272,0)</f>
        <v>0</v>
      </c>
      <c r="BJ274" s="6" t="s">
        <v>18</v>
      </c>
      <c r="BK274" s="112">
        <f>ROUND($L$272*$K$272,3)</f>
        <v>0</v>
      </c>
      <c r="BL274" s="6" t="s">
        <v>134</v>
      </c>
    </row>
    <row r="275" spans="2:64" s="6" customFormat="1" ht="15.75" customHeight="1">
      <c r="B275" s="19"/>
      <c r="C275" s="104">
        <v>108</v>
      </c>
      <c r="D275" s="104" t="s">
        <v>130</v>
      </c>
      <c r="E275" s="105" t="s">
        <v>271</v>
      </c>
      <c r="F275" s="223" t="s">
        <v>272</v>
      </c>
      <c r="G275" s="224"/>
      <c r="H275" s="224"/>
      <c r="I275" s="224"/>
      <c r="J275" s="106" t="s">
        <v>183</v>
      </c>
      <c r="K275" s="107">
        <v>21</v>
      </c>
      <c r="L275" s="225"/>
      <c r="M275" s="224"/>
      <c r="N275" s="225">
        <f t="shared" si="2"/>
        <v>0</v>
      </c>
      <c r="O275" s="224"/>
      <c r="P275" s="224"/>
      <c r="Q275" s="224"/>
      <c r="R275" s="20"/>
      <c r="T275" s="108"/>
      <c r="U275" s="26" t="s">
        <v>37</v>
      </c>
      <c r="V275" s="109">
        <v>7.27</v>
      </c>
      <c r="W275" s="109">
        <f>$V$275*$K$275</f>
        <v>152.67</v>
      </c>
      <c r="X275" s="109">
        <v>0.24993</v>
      </c>
      <c r="Y275" s="109">
        <f>$X$275*$K$275</f>
        <v>5.248530000000001</v>
      </c>
      <c r="Z275" s="109">
        <v>0</v>
      </c>
      <c r="AA275" s="110">
        <f>$Z$275*$K$275</f>
        <v>0</v>
      </c>
      <c r="AC275" s="138"/>
      <c r="AD275" s="138"/>
      <c r="AE275" s="138"/>
      <c r="AF275" s="138"/>
      <c r="AG275" s="138"/>
      <c r="AH275" s="138"/>
      <c r="AI275" s="138"/>
      <c r="AJ275" s="138"/>
      <c r="AR275" s="6" t="s">
        <v>134</v>
      </c>
      <c r="AT275" s="6" t="s">
        <v>130</v>
      </c>
      <c r="AU275" s="6" t="s">
        <v>82</v>
      </c>
      <c r="AY275" s="6" t="s">
        <v>129</v>
      </c>
      <c r="BE275" s="111">
        <f>IF($U$275="základní",$N$275,0)</f>
        <v>0</v>
      </c>
      <c r="BF275" s="111">
        <f>IF($U$275="snížená",$N$275,0)</f>
        <v>0</v>
      </c>
      <c r="BG275" s="111">
        <f>IF($U$275="zákl. přenesená",$N$275,0)</f>
        <v>0</v>
      </c>
      <c r="BH275" s="111">
        <f>IF($U$275="sníž. přenesená",$N$275,0)</f>
        <v>0</v>
      </c>
      <c r="BI275" s="111">
        <f>IF($U$275="nulová",$N$275,0)</f>
        <v>0</v>
      </c>
      <c r="BJ275" s="6" t="s">
        <v>18</v>
      </c>
      <c r="BK275" s="112">
        <f>ROUND($L$275*$K$275,3)</f>
        <v>0</v>
      </c>
      <c r="BL275" s="6" t="s">
        <v>134</v>
      </c>
    </row>
    <row r="276" spans="2:64" s="6" customFormat="1" ht="27" customHeight="1">
      <c r="B276" s="19"/>
      <c r="C276" s="125">
        <v>109</v>
      </c>
      <c r="D276" s="125" t="s">
        <v>212</v>
      </c>
      <c r="E276" s="126" t="s">
        <v>273</v>
      </c>
      <c r="F276" s="234" t="s">
        <v>274</v>
      </c>
      <c r="G276" s="235"/>
      <c r="H276" s="235"/>
      <c r="I276" s="235"/>
      <c r="J276" s="127" t="s">
        <v>183</v>
      </c>
      <c r="K276" s="128">
        <v>21</v>
      </c>
      <c r="L276" s="236"/>
      <c r="M276" s="235"/>
      <c r="N276" s="236">
        <f t="shared" si="2"/>
        <v>0</v>
      </c>
      <c r="O276" s="224"/>
      <c r="P276" s="224"/>
      <c r="Q276" s="224"/>
      <c r="R276" s="20"/>
      <c r="T276" s="108"/>
      <c r="U276" s="26" t="s">
        <v>37</v>
      </c>
      <c r="V276" s="109">
        <v>0</v>
      </c>
      <c r="W276" s="109">
        <f>$V$276*$K$276</f>
        <v>0</v>
      </c>
      <c r="X276" s="109">
        <v>0.006</v>
      </c>
      <c r="Y276" s="109">
        <f>$X$276*$K$276</f>
        <v>0.126</v>
      </c>
      <c r="Z276" s="109">
        <v>0</v>
      </c>
      <c r="AA276" s="110">
        <f>$Z$276*$K$276</f>
        <v>0</v>
      </c>
      <c r="AC276" s="138"/>
      <c r="AD276" s="138"/>
      <c r="AE276" s="138"/>
      <c r="AF276" s="138"/>
      <c r="AG276" s="138"/>
      <c r="AH276" s="138"/>
      <c r="AI276" s="138"/>
      <c r="AJ276" s="138"/>
      <c r="AR276" s="6" t="s">
        <v>153</v>
      </c>
      <c r="AT276" s="6" t="s">
        <v>212</v>
      </c>
      <c r="AU276" s="6" t="s">
        <v>82</v>
      </c>
      <c r="AY276" s="6" t="s">
        <v>129</v>
      </c>
      <c r="BE276" s="111">
        <f>IF($U$276="základní",$N$276,0)</f>
        <v>0</v>
      </c>
      <c r="BF276" s="111">
        <f>IF($U$276="snížená",$N$276,0)</f>
        <v>0</v>
      </c>
      <c r="BG276" s="111">
        <f>IF($U$276="zákl. přenesená",$N$276,0)</f>
        <v>0</v>
      </c>
      <c r="BH276" s="111">
        <f>IF($U$276="sníž. přenesená",$N$276,0)</f>
        <v>0</v>
      </c>
      <c r="BI276" s="111">
        <f>IF($U$276="nulová",$N$276,0)</f>
        <v>0</v>
      </c>
      <c r="BJ276" s="6" t="s">
        <v>18</v>
      </c>
      <c r="BK276" s="112">
        <f>ROUND($L$276*$K$276,3)</f>
        <v>0</v>
      </c>
      <c r="BL276" s="6" t="s">
        <v>134</v>
      </c>
    </row>
    <row r="277" spans="2:64" s="6" customFormat="1" ht="15.75" customHeight="1">
      <c r="B277" s="19"/>
      <c r="C277" s="125">
        <v>110</v>
      </c>
      <c r="D277" s="125" t="s">
        <v>212</v>
      </c>
      <c r="E277" s="126" t="s">
        <v>275</v>
      </c>
      <c r="F277" s="234" t="s">
        <v>276</v>
      </c>
      <c r="G277" s="235"/>
      <c r="H277" s="235"/>
      <c r="I277" s="235"/>
      <c r="J277" s="127" t="s">
        <v>183</v>
      </c>
      <c r="K277" s="128">
        <v>21</v>
      </c>
      <c r="L277" s="236"/>
      <c r="M277" s="235"/>
      <c r="N277" s="236">
        <f t="shared" si="2"/>
        <v>0</v>
      </c>
      <c r="O277" s="224"/>
      <c r="P277" s="224"/>
      <c r="Q277" s="224"/>
      <c r="R277" s="20"/>
      <c r="T277" s="108"/>
      <c r="U277" s="26" t="s">
        <v>37</v>
      </c>
      <c r="V277" s="109">
        <v>0</v>
      </c>
      <c r="W277" s="109">
        <f>$V$277*$K$277</f>
        <v>0</v>
      </c>
      <c r="X277" s="109">
        <v>0.06</v>
      </c>
      <c r="Y277" s="109">
        <f>$X$277*$K$277</f>
        <v>1.26</v>
      </c>
      <c r="Z277" s="109">
        <v>0</v>
      </c>
      <c r="AA277" s="110">
        <f>$Z$277*$K$277</f>
        <v>0</v>
      </c>
      <c r="AC277" s="138"/>
      <c r="AD277" s="138"/>
      <c r="AE277" s="138"/>
      <c r="AF277" s="138"/>
      <c r="AG277" s="138"/>
      <c r="AH277" s="138"/>
      <c r="AI277" s="138"/>
      <c r="AJ277" s="138"/>
      <c r="AR277" s="6" t="s">
        <v>153</v>
      </c>
      <c r="AT277" s="6" t="s">
        <v>212</v>
      </c>
      <c r="AU277" s="6" t="s">
        <v>82</v>
      </c>
      <c r="AY277" s="6" t="s">
        <v>129</v>
      </c>
      <c r="BE277" s="111">
        <f>IF($U$277="základní",$N$277,0)</f>
        <v>0</v>
      </c>
      <c r="BF277" s="111">
        <f>IF($U$277="snížená",$N$277,0)</f>
        <v>0</v>
      </c>
      <c r="BG277" s="111">
        <f>IF($U$277="zákl. přenesená",$N$277,0)</f>
        <v>0</v>
      </c>
      <c r="BH277" s="111">
        <f>IF($U$277="sníž. přenesená",$N$277,0)</f>
        <v>0</v>
      </c>
      <c r="BI277" s="111">
        <f>IF($U$277="nulová",$N$277,0)</f>
        <v>0</v>
      </c>
      <c r="BJ277" s="6" t="s">
        <v>18</v>
      </c>
      <c r="BK277" s="112">
        <f>ROUND($L$277*$K$277,3)</f>
        <v>0</v>
      </c>
      <c r="BL277" s="6" t="s">
        <v>134</v>
      </c>
    </row>
    <row r="278" spans="2:64" s="6" customFormat="1" ht="15.75" customHeight="1">
      <c r="B278" s="19"/>
      <c r="C278" s="125">
        <v>111</v>
      </c>
      <c r="D278" s="125" t="s">
        <v>212</v>
      </c>
      <c r="E278" s="126" t="s">
        <v>277</v>
      </c>
      <c r="F278" s="234" t="s">
        <v>278</v>
      </c>
      <c r="G278" s="235"/>
      <c r="H278" s="235"/>
      <c r="I278" s="235"/>
      <c r="J278" s="127" t="s">
        <v>183</v>
      </c>
      <c r="K278" s="128">
        <v>21</v>
      </c>
      <c r="L278" s="236"/>
      <c r="M278" s="235"/>
      <c r="N278" s="236">
        <f t="shared" si="2"/>
        <v>0</v>
      </c>
      <c r="O278" s="224"/>
      <c r="P278" s="224"/>
      <c r="Q278" s="224"/>
      <c r="R278" s="20"/>
      <c r="T278" s="108"/>
      <c r="U278" s="26" t="s">
        <v>37</v>
      </c>
      <c r="V278" s="109">
        <v>0</v>
      </c>
      <c r="W278" s="109">
        <f>$V$278*$K$278</f>
        <v>0</v>
      </c>
      <c r="X278" s="109">
        <v>0.058</v>
      </c>
      <c r="Y278" s="109">
        <f>$X$278*$K$278</f>
        <v>1.218</v>
      </c>
      <c r="Z278" s="109">
        <v>0</v>
      </c>
      <c r="AA278" s="110">
        <f>$Z$278*$K$278</f>
        <v>0</v>
      </c>
      <c r="AC278" s="138"/>
      <c r="AD278" s="138"/>
      <c r="AE278" s="138"/>
      <c r="AF278" s="138"/>
      <c r="AG278" s="138"/>
      <c r="AH278" s="138"/>
      <c r="AI278" s="138"/>
      <c r="AJ278" s="138"/>
      <c r="AR278" s="6" t="s">
        <v>153</v>
      </c>
      <c r="AT278" s="6" t="s">
        <v>212</v>
      </c>
      <c r="AU278" s="6" t="s">
        <v>82</v>
      </c>
      <c r="AY278" s="6" t="s">
        <v>129</v>
      </c>
      <c r="BE278" s="111">
        <f>IF($U$278="základní",$N$278,0)</f>
        <v>0</v>
      </c>
      <c r="BF278" s="111">
        <f>IF($U$278="snížená",$N$278,0)</f>
        <v>0</v>
      </c>
      <c r="BG278" s="111">
        <f>IF($U$278="zákl. přenesená",$N$278,0)</f>
        <v>0</v>
      </c>
      <c r="BH278" s="111">
        <f>IF($U$278="sníž. přenesená",$N$278,0)</f>
        <v>0</v>
      </c>
      <c r="BI278" s="111">
        <f>IF($U$278="nulová",$N$278,0)</f>
        <v>0</v>
      </c>
      <c r="BJ278" s="6" t="s">
        <v>18</v>
      </c>
      <c r="BK278" s="112">
        <f>ROUND($L$278*$K$278,3)</f>
        <v>0</v>
      </c>
      <c r="BL278" s="6" t="s">
        <v>134</v>
      </c>
    </row>
    <row r="279" spans="2:64" s="161" customFormat="1" ht="27.75" customHeight="1">
      <c r="B279" s="19"/>
      <c r="C279" s="162">
        <v>112</v>
      </c>
      <c r="D279" s="162" t="s">
        <v>212</v>
      </c>
      <c r="E279" s="163" t="s">
        <v>355</v>
      </c>
      <c r="F279" s="210" t="s">
        <v>356</v>
      </c>
      <c r="G279" s="211"/>
      <c r="H279" s="211"/>
      <c r="I279" s="211"/>
      <c r="J279" s="164" t="s">
        <v>183</v>
      </c>
      <c r="K279" s="165">
        <v>21</v>
      </c>
      <c r="L279" s="212"/>
      <c r="M279" s="211"/>
      <c r="N279" s="212">
        <f aca="true" t="shared" si="3" ref="N279">K279*L279</f>
        <v>0</v>
      </c>
      <c r="O279" s="213"/>
      <c r="P279" s="213"/>
      <c r="Q279" s="213"/>
      <c r="R279" s="20"/>
      <c r="T279" s="108"/>
      <c r="U279" s="26" t="s">
        <v>37</v>
      </c>
      <c r="V279" s="109">
        <v>0</v>
      </c>
      <c r="W279" s="109">
        <f>$V$278*$K$278</f>
        <v>0</v>
      </c>
      <c r="X279" s="109">
        <v>0.058</v>
      </c>
      <c r="Y279" s="109">
        <f>$X$278*$K$278</f>
        <v>1.218</v>
      </c>
      <c r="Z279" s="109">
        <v>0</v>
      </c>
      <c r="AA279" s="110">
        <f>$Z$278*$K$278</f>
        <v>0</v>
      </c>
      <c r="AC279" s="138"/>
      <c r="AD279" s="138"/>
      <c r="AE279" s="138"/>
      <c r="AF279" s="138"/>
      <c r="AG279" s="138"/>
      <c r="AH279" s="138"/>
      <c r="AI279" s="138"/>
      <c r="AJ279" s="138"/>
      <c r="AR279" s="161" t="s">
        <v>153</v>
      </c>
      <c r="AT279" s="161" t="s">
        <v>212</v>
      </c>
      <c r="AU279" s="161" t="s">
        <v>82</v>
      </c>
      <c r="AY279" s="161" t="s">
        <v>129</v>
      </c>
      <c r="BE279" s="111">
        <f>IF($U$278="základní",$N$278,0)</f>
        <v>0</v>
      </c>
      <c r="BF279" s="111">
        <f>IF($U$278="snížená",$N$278,0)</f>
        <v>0</v>
      </c>
      <c r="BG279" s="111">
        <f>IF($U$278="zákl. přenesená",$N$278,0)</f>
        <v>0</v>
      </c>
      <c r="BH279" s="111">
        <f>IF($U$278="sníž. přenesená",$N$278,0)</f>
        <v>0</v>
      </c>
      <c r="BI279" s="111">
        <f>IF($U$278="nulová",$N$278,0)</f>
        <v>0</v>
      </c>
      <c r="BJ279" s="161" t="s">
        <v>18</v>
      </c>
      <c r="BK279" s="112">
        <f>ROUND($L$278*$K$278,3)</f>
        <v>0</v>
      </c>
      <c r="BL279" s="161" t="s">
        <v>134</v>
      </c>
    </row>
    <row r="280" spans="2:64" s="161" customFormat="1" ht="26.25" customHeight="1">
      <c r="B280" s="19"/>
      <c r="C280" s="162">
        <v>113</v>
      </c>
      <c r="D280" s="162" t="s">
        <v>212</v>
      </c>
      <c r="E280" s="163" t="s">
        <v>357</v>
      </c>
      <c r="F280" s="210" t="s">
        <v>358</v>
      </c>
      <c r="G280" s="211"/>
      <c r="H280" s="211"/>
      <c r="I280" s="211"/>
      <c r="J280" s="164" t="s">
        <v>183</v>
      </c>
      <c r="K280" s="165">
        <v>21</v>
      </c>
      <c r="L280" s="212"/>
      <c r="M280" s="211"/>
      <c r="N280" s="212">
        <f aca="true" t="shared" si="4" ref="N280">K280*L280</f>
        <v>0</v>
      </c>
      <c r="O280" s="213"/>
      <c r="P280" s="213"/>
      <c r="Q280" s="213"/>
      <c r="R280" s="20"/>
      <c r="T280" s="108"/>
      <c r="U280" s="26" t="s">
        <v>37</v>
      </c>
      <c r="V280" s="109">
        <v>0</v>
      </c>
      <c r="W280" s="109">
        <f>$V$278*$K$278</f>
        <v>0</v>
      </c>
      <c r="X280" s="109">
        <v>0.058</v>
      </c>
      <c r="Y280" s="109">
        <f>$X$278*$K$278</f>
        <v>1.218</v>
      </c>
      <c r="Z280" s="109">
        <v>0</v>
      </c>
      <c r="AA280" s="110">
        <f>$Z$278*$K$278</f>
        <v>0</v>
      </c>
      <c r="AC280" s="138"/>
      <c r="AD280" s="138"/>
      <c r="AE280" s="138"/>
      <c r="AF280" s="138"/>
      <c r="AG280" s="138"/>
      <c r="AH280" s="138"/>
      <c r="AI280" s="138"/>
      <c r="AJ280" s="138"/>
      <c r="AR280" s="161" t="s">
        <v>153</v>
      </c>
      <c r="AT280" s="161" t="s">
        <v>212</v>
      </c>
      <c r="AU280" s="161" t="s">
        <v>82</v>
      </c>
      <c r="AY280" s="161" t="s">
        <v>129</v>
      </c>
      <c r="BE280" s="111">
        <f>IF($U$278="základní",$N$278,0)</f>
        <v>0</v>
      </c>
      <c r="BF280" s="111">
        <f>IF($U$278="snížená",$N$278,0)</f>
        <v>0</v>
      </c>
      <c r="BG280" s="111">
        <f>IF($U$278="zákl. přenesená",$N$278,0)</f>
        <v>0</v>
      </c>
      <c r="BH280" s="111">
        <f>IF($U$278="sníž. přenesená",$N$278,0)</f>
        <v>0</v>
      </c>
      <c r="BI280" s="111">
        <f>IF($U$278="nulová",$N$278,0)</f>
        <v>0</v>
      </c>
      <c r="BJ280" s="161" t="s">
        <v>18</v>
      </c>
      <c r="BK280" s="112">
        <f>ROUND($L$278*$K$278,3)</f>
        <v>0</v>
      </c>
      <c r="BL280" s="161" t="s">
        <v>134</v>
      </c>
    </row>
    <row r="281" spans="2:64" s="161" customFormat="1" ht="26.25" customHeight="1">
      <c r="B281" s="19"/>
      <c r="C281" s="162">
        <v>114</v>
      </c>
      <c r="D281" s="162" t="s">
        <v>212</v>
      </c>
      <c r="E281" s="163" t="s">
        <v>359</v>
      </c>
      <c r="F281" s="204" t="s">
        <v>360</v>
      </c>
      <c r="G281" s="205"/>
      <c r="H281" s="205"/>
      <c r="I281" s="206"/>
      <c r="J281" s="164" t="s">
        <v>183</v>
      </c>
      <c r="K281" s="165">
        <v>21</v>
      </c>
      <c r="L281" s="207"/>
      <c r="M281" s="208"/>
      <c r="N281" s="207">
        <f aca="true" t="shared" si="5" ref="N281">K281*L281</f>
        <v>0</v>
      </c>
      <c r="O281" s="209"/>
      <c r="P281" s="209"/>
      <c r="Q281" s="208"/>
      <c r="R281" s="20"/>
      <c r="T281" s="108"/>
      <c r="U281" s="26" t="s">
        <v>37</v>
      </c>
      <c r="V281" s="109">
        <v>0</v>
      </c>
      <c r="W281" s="109">
        <f>$V$278*$K$278</f>
        <v>0</v>
      </c>
      <c r="X281" s="109">
        <v>0.058</v>
      </c>
      <c r="Y281" s="109">
        <f>$X$278*$K$278</f>
        <v>1.218</v>
      </c>
      <c r="Z281" s="109">
        <v>0</v>
      </c>
      <c r="AA281" s="110">
        <f>$Z$278*$K$278</f>
        <v>0</v>
      </c>
      <c r="AC281" s="138"/>
      <c r="AD281" s="138"/>
      <c r="AE281" s="138"/>
      <c r="AF281" s="138"/>
      <c r="AG281" s="138"/>
      <c r="AH281" s="138"/>
      <c r="AI281" s="138"/>
      <c r="AJ281" s="138"/>
      <c r="AR281" s="161" t="s">
        <v>153</v>
      </c>
      <c r="AT281" s="161" t="s">
        <v>212</v>
      </c>
      <c r="AU281" s="161" t="s">
        <v>82</v>
      </c>
      <c r="AY281" s="161" t="s">
        <v>129</v>
      </c>
      <c r="BE281" s="111">
        <f>IF($U$278="základní",$N$278,0)</f>
        <v>0</v>
      </c>
      <c r="BF281" s="111">
        <f>IF($U$278="snížená",$N$278,0)</f>
        <v>0</v>
      </c>
      <c r="BG281" s="111">
        <f>IF($U$278="zákl. přenesená",$N$278,0)</f>
        <v>0</v>
      </c>
      <c r="BH281" s="111">
        <f>IF($U$278="sníž. přenesená",$N$278,0)</f>
        <v>0</v>
      </c>
      <c r="BI281" s="111">
        <f>IF($U$278="nulová",$N$278,0)</f>
        <v>0</v>
      </c>
      <c r="BJ281" s="161" t="s">
        <v>18</v>
      </c>
      <c r="BK281" s="112">
        <f>ROUND($L$278*$K$278,3)</f>
        <v>0</v>
      </c>
      <c r="BL281" s="161" t="s">
        <v>134</v>
      </c>
    </row>
    <row r="282" spans="2:64" s="161" customFormat="1" ht="26.25" customHeight="1">
      <c r="B282" s="19"/>
      <c r="C282" s="162">
        <v>115</v>
      </c>
      <c r="D282" s="162" t="s">
        <v>212</v>
      </c>
      <c r="E282" s="163" t="s">
        <v>361</v>
      </c>
      <c r="F282" s="204" t="s">
        <v>362</v>
      </c>
      <c r="G282" s="205"/>
      <c r="H282" s="205"/>
      <c r="I282" s="206"/>
      <c r="J282" s="164" t="s">
        <v>183</v>
      </c>
      <c r="K282" s="165">
        <v>21</v>
      </c>
      <c r="L282" s="207"/>
      <c r="M282" s="208"/>
      <c r="N282" s="207">
        <f aca="true" t="shared" si="6" ref="N282">K282*L282</f>
        <v>0</v>
      </c>
      <c r="O282" s="209"/>
      <c r="P282" s="209"/>
      <c r="Q282" s="208"/>
      <c r="R282" s="20"/>
      <c r="T282" s="108"/>
      <c r="U282" s="26" t="s">
        <v>37</v>
      </c>
      <c r="V282" s="109">
        <v>0</v>
      </c>
      <c r="W282" s="109">
        <f>$V$278*$K$278</f>
        <v>0</v>
      </c>
      <c r="X282" s="109">
        <v>0.058</v>
      </c>
      <c r="Y282" s="109">
        <f>$X$278*$K$278</f>
        <v>1.218</v>
      </c>
      <c r="Z282" s="109">
        <v>0</v>
      </c>
      <c r="AA282" s="110">
        <f>$Z$278*$K$278</f>
        <v>0</v>
      </c>
      <c r="AC282" s="138"/>
      <c r="AD282" s="138"/>
      <c r="AE282" s="138"/>
      <c r="AF282" s="138"/>
      <c r="AG282" s="138"/>
      <c r="AH282" s="138"/>
      <c r="AI282" s="138"/>
      <c r="AJ282" s="138"/>
      <c r="AR282" s="161" t="s">
        <v>153</v>
      </c>
      <c r="AT282" s="161" t="s">
        <v>212</v>
      </c>
      <c r="AU282" s="161" t="s">
        <v>82</v>
      </c>
      <c r="AY282" s="161" t="s">
        <v>129</v>
      </c>
      <c r="BE282" s="111">
        <f>IF($U$278="základní",$N$278,0)</f>
        <v>0</v>
      </c>
      <c r="BF282" s="111">
        <f>IF($U$278="snížená",$N$278,0)</f>
        <v>0</v>
      </c>
      <c r="BG282" s="111">
        <f>IF($U$278="zákl. přenesená",$N$278,0)</f>
        <v>0</v>
      </c>
      <c r="BH282" s="111">
        <f>IF($U$278="sníž. přenesená",$N$278,0)</f>
        <v>0</v>
      </c>
      <c r="BI282" s="111">
        <f>IF($U$278="nulová",$N$278,0)</f>
        <v>0</v>
      </c>
      <c r="BJ282" s="161" t="s">
        <v>18</v>
      </c>
      <c r="BK282" s="112">
        <f>ROUND($L$278*$K$278,3)</f>
        <v>0</v>
      </c>
      <c r="BL282" s="161" t="s">
        <v>134</v>
      </c>
    </row>
    <row r="283" spans="2:64" s="6" customFormat="1" ht="27" customHeight="1">
      <c r="B283" s="19"/>
      <c r="C283" s="104">
        <v>116</v>
      </c>
      <c r="D283" s="104" t="s">
        <v>130</v>
      </c>
      <c r="E283" s="105" t="s">
        <v>265</v>
      </c>
      <c r="F283" s="223" t="s">
        <v>266</v>
      </c>
      <c r="G283" s="224"/>
      <c r="H283" s="224"/>
      <c r="I283" s="224"/>
      <c r="J283" s="106" t="s">
        <v>187</v>
      </c>
      <c r="K283" s="107">
        <v>8.236</v>
      </c>
      <c r="L283" s="225"/>
      <c r="M283" s="224"/>
      <c r="N283" s="225">
        <f t="shared" si="2"/>
        <v>0</v>
      </c>
      <c r="O283" s="224"/>
      <c r="P283" s="224"/>
      <c r="Q283" s="224"/>
      <c r="R283" s="20"/>
      <c r="T283" s="108"/>
      <c r="U283" s="26" t="s">
        <v>37</v>
      </c>
      <c r="V283" s="109">
        <v>0.699</v>
      </c>
      <c r="W283" s="109">
        <f>$V$283*$K$283</f>
        <v>5.756964</v>
      </c>
      <c r="X283" s="109">
        <v>0</v>
      </c>
      <c r="Y283" s="109">
        <f>$X$283*$K$283</f>
        <v>0</v>
      </c>
      <c r="Z283" s="109">
        <v>0</v>
      </c>
      <c r="AA283" s="110">
        <f>$Z$283*$K$283</f>
        <v>0</v>
      </c>
      <c r="AC283" s="138"/>
      <c r="AD283" s="138"/>
      <c r="AE283" s="138"/>
      <c r="AF283" s="138"/>
      <c r="AG283" s="138"/>
      <c r="AH283" s="138"/>
      <c r="AI283" s="138"/>
      <c r="AJ283" s="138"/>
      <c r="AR283" s="6" t="s">
        <v>134</v>
      </c>
      <c r="AT283" s="6" t="s">
        <v>130</v>
      </c>
      <c r="AU283" s="6" t="s">
        <v>82</v>
      </c>
      <c r="AY283" s="6" t="s">
        <v>129</v>
      </c>
      <c r="BE283" s="111">
        <f>IF($U$283="základní",$N$283,0)</f>
        <v>0</v>
      </c>
      <c r="BF283" s="111">
        <f>IF($U$283="snížená",$N$283,0)</f>
        <v>0</v>
      </c>
      <c r="BG283" s="111">
        <f>IF($U$283="zákl. přenesená",$N$283,0)</f>
        <v>0</v>
      </c>
      <c r="BH283" s="111">
        <f>IF($U$283="sníž. přenesená",$N$283,0)</f>
        <v>0</v>
      </c>
      <c r="BI283" s="111">
        <f>IF($U$283="nulová",$N$283,0)</f>
        <v>0</v>
      </c>
      <c r="BJ283" s="6" t="s">
        <v>18</v>
      </c>
      <c r="BK283" s="112">
        <f>ROUND($L$283*$K$283,3)</f>
        <v>0</v>
      </c>
      <c r="BL283" s="6" t="s">
        <v>134</v>
      </c>
    </row>
    <row r="284" spans="2:63" s="94" customFormat="1" ht="30.75" customHeight="1">
      <c r="B284" s="95"/>
      <c r="D284" s="103" t="s">
        <v>110</v>
      </c>
      <c r="N284" s="229">
        <f>SUM(N285:Q289)</f>
        <v>0</v>
      </c>
      <c r="O284" s="228"/>
      <c r="P284" s="228"/>
      <c r="Q284" s="228"/>
      <c r="R284" s="98"/>
      <c r="T284" s="99"/>
      <c r="W284" s="100">
        <f>SUM($W$285:$W$289)</f>
        <v>67.72958</v>
      </c>
      <c r="Y284" s="100">
        <f>SUM($Y$285:$Y$289)</f>
        <v>9.92155</v>
      </c>
      <c r="AA284" s="101">
        <f>SUM($AA$285:$AA$289)</f>
        <v>0</v>
      </c>
      <c r="AC284" s="140"/>
      <c r="AD284" s="140"/>
      <c r="AE284" s="140"/>
      <c r="AF284" s="140"/>
      <c r="AG284" s="140"/>
      <c r="AH284" s="140"/>
      <c r="AI284" s="140"/>
      <c r="AJ284" s="140"/>
      <c r="AR284" s="97" t="s">
        <v>18</v>
      </c>
      <c r="AT284" s="97" t="s">
        <v>71</v>
      </c>
      <c r="AU284" s="97" t="s">
        <v>18</v>
      </c>
      <c r="AY284" s="97" t="s">
        <v>129</v>
      </c>
      <c r="BK284" s="102">
        <f>SUM($BK$285:$BK$289)</f>
        <v>0</v>
      </c>
    </row>
    <row r="285" spans="2:64" s="6" customFormat="1" ht="27" customHeight="1">
      <c r="B285" s="19"/>
      <c r="C285" s="104">
        <v>117</v>
      </c>
      <c r="D285" s="104" t="s">
        <v>130</v>
      </c>
      <c r="E285" s="105" t="s">
        <v>279</v>
      </c>
      <c r="F285" s="223" t="s">
        <v>280</v>
      </c>
      <c r="G285" s="224"/>
      <c r="H285" s="224"/>
      <c r="I285" s="224"/>
      <c r="J285" s="106" t="s">
        <v>170</v>
      </c>
      <c r="K285" s="107">
        <v>155</v>
      </c>
      <c r="L285" s="225"/>
      <c r="M285" s="224"/>
      <c r="N285" s="225">
        <f>K285*L285</f>
        <v>0</v>
      </c>
      <c r="O285" s="224"/>
      <c r="P285" s="224"/>
      <c r="Q285" s="224"/>
      <c r="R285" s="20"/>
      <c r="T285" s="108"/>
      <c r="U285" s="26" t="s">
        <v>37</v>
      </c>
      <c r="V285" s="109">
        <v>0.39</v>
      </c>
      <c r="W285" s="109">
        <f>$V$285*$K$285</f>
        <v>60.45</v>
      </c>
      <c r="X285" s="109">
        <v>0.01835</v>
      </c>
      <c r="Y285" s="109">
        <f>$X$285*$K$285</f>
        <v>2.84425</v>
      </c>
      <c r="Z285" s="109">
        <v>0</v>
      </c>
      <c r="AA285" s="110">
        <f>$Z$285*$K$285</f>
        <v>0</v>
      </c>
      <c r="AC285" s="138"/>
      <c r="AD285" s="138"/>
      <c r="AE285" s="138"/>
      <c r="AF285" s="138"/>
      <c r="AG285" s="138"/>
      <c r="AH285" s="138"/>
      <c r="AI285" s="138"/>
      <c r="AJ285" s="138"/>
      <c r="AR285" s="6" t="s">
        <v>134</v>
      </c>
      <c r="AT285" s="6" t="s">
        <v>130</v>
      </c>
      <c r="AU285" s="6" t="s">
        <v>82</v>
      </c>
      <c r="AY285" s="6" t="s">
        <v>129</v>
      </c>
      <c r="BE285" s="111">
        <f>IF($U$285="základní",$N$285,0)</f>
        <v>0</v>
      </c>
      <c r="BF285" s="111">
        <f>IF($U$285="snížená",$N$285,0)</f>
        <v>0</v>
      </c>
      <c r="BG285" s="111">
        <f>IF($U$285="zákl. přenesená",$N$285,0)</f>
        <v>0</v>
      </c>
      <c r="BH285" s="111">
        <f>IF($U$285="sníž. přenesená",$N$285,0)</f>
        <v>0</v>
      </c>
      <c r="BI285" s="111">
        <f>IF($U$285="nulová",$N$285,0)</f>
        <v>0</v>
      </c>
      <c r="BJ285" s="6" t="s">
        <v>18</v>
      </c>
      <c r="BK285" s="112">
        <f>ROUND($L$285*$K$285,3)</f>
        <v>0</v>
      </c>
      <c r="BL285" s="6" t="s">
        <v>134</v>
      </c>
    </row>
    <row r="286" spans="2:64" s="6" customFormat="1" ht="27" customHeight="1">
      <c r="B286" s="19"/>
      <c r="C286" s="125">
        <v>118</v>
      </c>
      <c r="D286" s="125" t="s">
        <v>212</v>
      </c>
      <c r="E286" s="126" t="s">
        <v>281</v>
      </c>
      <c r="F286" s="234" t="s">
        <v>282</v>
      </c>
      <c r="G286" s="235"/>
      <c r="H286" s="235"/>
      <c r="I286" s="235"/>
      <c r="J286" s="127" t="s">
        <v>183</v>
      </c>
      <c r="K286" s="128">
        <v>155</v>
      </c>
      <c r="L286" s="236"/>
      <c r="M286" s="235"/>
      <c r="N286" s="236">
        <f>K286*L286</f>
        <v>0</v>
      </c>
      <c r="O286" s="224"/>
      <c r="P286" s="224"/>
      <c r="Q286" s="224"/>
      <c r="R286" s="20"/>
      <c r="T286" s="108"/>
      <c r="U286" s="26" t="s">
        <v>37</v>
      </c>
      <c r="V286" s="109">
        <v>0</v>
      </c>
      <c r="W286" s="109">
        <f>$V$286*$K$286</f>
        <v>0</v>
      </c>
      <c r="X286" s="109">
        <v>0.032</v>
      </c>
      <c r="Y286" s="109">
        <f>$X$286*$K$286</f>
        <v>4.96</v>
      </c>
      <c r="Z286" s="109">
        <v>0</v>
      </c>
      <c r="AA286" s="110">
        <f>$Z$286*$K$286</f>
        <v>0</v>
      </c>
      <c r="AC286" s="138"/>
      <c r="AD286" s="138"/>
      <c r="AE286" s="138"/>
      <c r="AF286" s="138"/>
      <c r="AG286" s="138"/>
      <c r="AH286" s="138"/>
      <c r="AI286" s="138"/>
      <c r="AJ286" s="138"/>
      <c r="AR286" s="6" t="s">
        <v>238</v>
      </c>
      <c r="AT286" s="6" t="s">
        <v>212</v>
      </c>
      <c r="AU286" s="6" t="s">
        <v>82</v>
      </c>
      <c r="AY286" s="6" t="s">
        <v>129</v>
      </c>
      <c r="BE286" s="111">
        <f>IF($U$286="základní",$N$286,0)</f>
        <v>0</v>
      </c>
      <c r="BF286" s="111">
        <f>IF($U$286="snížená",$N$286,0)</f>
        <v>0</v>
      </c>
      <c r="BG286" s="111">
        <f>IF($U$286="zákl. přenesená",$N$286,0)</f>
        <v>0</v>
      </c>
      <c r="BH286" s="111">
        <f>IF($U$286="sníž. přenesená",$N$286,0)</f>
        <v>0</v>
      </c>
      <c r="BI286" s="111">
        <f>IF($U$286="nulová",$N$286,0)</f>
        <v>0</v>
      </c>
      <c r="BJ286" s="6" t="s">
        <v>18</v>
      </c>
      <c r="BK286" s="112">
        <f>ROUND($L$286*$K$286,3)</f>
        <v>0</v>
      </c>
      <c r="BL286" s="6" t="s">
        <v>238</v>
      </c>
    </row>
    <row r="287" spans="2:64" s="6" customFormat="1" ht="15.75" customHeight="1">
      <c r="B287" s="19"/>
      <c r="C287" s="125">
        <v>119</v>
      </c>
      <c r="D287" s="125" t="s">
        <v>212</v>
      </c>
      <c r="E287" s="126" t="s">
        <v>283</v>
      </c>
      <c r="F287" s="234" t="s">
        <v>284</v>
      </c>
      <c r="G287" s="235"/>
      <c r="H287" s="235"/>
      <c r="I287" s="235"/>
      <c r="J287" s="127" t="s">
        <v>183</v>
      </c>
      <c r="K287" s="128">
        <v>310</v>
      </c>
      <c r="L287" s="236"/>
      <c r="M287" s="235"/>
      <c r="N287" s="236">
        <f>K287*L287</f>
        <v>0</v>
      </c>
      <c r="O287" s="224"/>
      <c r="P287" s="224"/>
      <c r="Q287" s="224"/>
      <c r="R287" s="20"/>
      <c r="T287" s="108"/>
      <c r="U287" s="26" t="s">
        <v>37</v>
      </c>
      <c r="V287" s="109">
        <v>0</v>
      </c>
      <c r="W287" s="109">
        <f>$V$287*$K$287</f>
        <v>0</v>
      </c>
      <c r="X287" s="109">
        <v>0.0068</v>
      </c>
      <c r="Y287" s="109">
        <f>$X$287*$K$287</f>
        <v>2.108</v>
      </c>
      <c r="Z287" s="109">
        <v>0</v>
      </c>
      <c r="AA287" s="110">
        <f>$Z$287*$K$287</f>
        <v>0</v>
      </c>
      <c r="AC287" s="138"/>
      <c r="AD287" s="138"/>
      <c r="AE287" s="138"/>
      <c r="AF287" s="138"/>
      <c r="AG287" s="138"/>
      <c r="AH287" s="138"/>
      <c r="AI287" s="138"/>
      <c r="AJ287" s="138"/>
      <c r="AR287" s="6" t="s">
        <v>238</v>
      </c>
      <c r="AT287" s="6" t="s">
        <v>212</v>
      </c>
      <c r="AU287" s="6" t="s">
        <v>82</v>
      </c>
      <c r="AY287" s="6" t="s">
        <v>129</v>
      </c>
      <c r="BE287" s="111">
        <f>IF($U$287="základní",$N$287,0)</f>
        <v>0</v>
      </c>
      <c r="BF287" s="111">
        <f>IF($U$287="snížená",$N$287,0)</f>
        <v>0</v>
      </c>
      <c r="BG287" s="111">
        <f>IF($U$287="zákl. přenesená",$N$287,0)</f>
        <v>0</v>
      </c>
      <c r="BH287" s="111">
        <f>IF($U$287="sníž. přenesená",$N$287,0)</f>
        <v>0</v>
      </c>
      <c r="BI287" s="111">
        <f>IF($U$287="nulová",$N$287,0)</f>
        <v>0</v>
      </c>
      <c r="BJ287" s="6" t="s">
        <v>18</v>
      </c>
      <c r="BK287" s="112">
        <f>ROUND($L$287*$K$287,3)</f>
        <v>0</v>
      </c>
      <c r="BL287" s="6" t="s">
        <v>238</v>
      </c>
    </row>
    <row r="288" spans="2:64" s="6" customFormat="1" ht="27" customHeight="1">
      <c r="B288" s="19"/>
      <c r="C288" s="104">
        <v>120</v>
      </c>
      <c r="D288" s="104" t="s">
        <v>130</v>
      </c>
      <c r="E288" s="105" t="s">
        <v>285</v>
      </c>
      <c r="F288" s="223" t="s">
        <v>286</v>
      </c>
      <c r="G288" s="224"/>
      <c r="H288" s="224"/>
      <c r="I288" s="224"/>
      <c r="J288" s="106" t="s">
        <v>170</v>
      </c>
      <c r="K288" s="107">
        <v>155</v>
      </c>
      <c r="L288" s="225"/>
      <c r="M288" s="224"/>
      <c r="N288" s="225">
        <f>K288*L288</f>
        <v>0</v>
      </c>
      <c r="O288" s="224"/>
      <c r="P288" s="224"/>
      <c r="Q288" s="224"/>
      <c r="R288" s="20"/>
      <c r="T288" s="108"/>
      <c r="U288" s="26" t="s">
        <v>37</v>
      </c>
      <c r="V288" s="109">
        <v>0.022</v>
      </c>
      <c r="W288" s="109">
        <f>$V$288*$K$288</f>
        <v>3.4099999999999997</v>
      </c>
      <c r="X288" s="109">
        <v>6E-05</v>
      </c>
      <c r="Y288" s="109">
        <f>$X$288*$K$288</f>
        <v>0.009300000000000001</v>
      </c>
      <c r="Z288" s="109">
        <v>0</v>
      </c>
      <c r="AA288" s="110">
        <f>$Z$288*$K$288</f>
        <v>0</v>
      </c>
      <c r="AC288" s="138"/>
      <c r="AD288" s="138"/>
      <c r="AE288" s="138"/>
      <c r="AF288" s="138"/>
      <c r="AG288" s="138"/>
      <c r="AH288" s="138"/>
      <c r="AI288" s="138"/>
      <c r="AJ288" s="138"/>
      <c r="AR288" s="6" t="s">
        <v>248</v>
      </c>
      <c r="AT288" s="6" t="s">
        <v>130</v>
      </c>
      <c r="AU288" s="6" t="s">
        <v>82</v>
      </c>
      <c r="AY288" s="6" t="s">
        <v>129</v>
      </c>
      <c r="BE288" s="111">
        <f>IF($U$288="základní",$N$288,0)</f>
        <v>0</v>
      </c>
      <c r="BF288" s="111">
        <f>IF($U$288="snížená",$N$288,0)</f>
        <v>0</v>
      </c>
      <c r="BG288" s="111">
        <f>IF($U$288="zákl. přenesená",$N$288,0)</f>
        <v>0</v>
      </c>
      <c r="BH288" s="111">
        <f>IF($U$288="sníž. přenesená",$N$288,0)</f>
        <v>0</v>
      </c>
      <c r="BI288" s="111">
        <f>IF($U$288="nulová",$N$288,0)</f>
        <v>0</v>
      </c>
      <c r="BJ288" s="6" t="s">
        <v>18</v>
      </c>
      <c r="BK288" s="112">
        <f>ROUND($L$288*$K$288,3)</f>
        <v>0</v>
      </c>
      <c r="BL288" s="6" t="s">
        <v>248</v>
      </c>
    </row>
    <row r="289" spans="2:64" s="6" customFormat="1" ht="27" customHeight="1">
      <c r="B289" s="19"/>
      <c r="C289" s="104">
        <v>121</v>
      </c>
      <c r="D289" s="104" t="s">
        <v>130</v>
      </c>
      <c r="E289" s="105" t="s">
        <v>215</v>
      </c>
      <c r="F289" s="223" t="s">
        <v>216</v>
      </c>
      <c r="G289" s="224"/>
      <c r="H289" s="224"/>
      <c r="I289" s="224"/>
      <c r="J289" s="106" t="s">
        <v>187</v>
      </c>
      <c r="K289" s="107">
        <v>9.922</v>
      </c>
      <c r="L289" s="225"/>
      <c r="M289" s="224"/>
      <c r="N289" s="225">
        <f>ROUND($L$289*$K$289,3)</f>
        <v>0</v>
      </c>
      <c r="O289" s="224"/>
      <c r="P289" s="224"/>
      <c r="Q289" s="224"/>
      <c r="R289" s="20"/>
      <c r="T289" s="108"/>
      <c r="U289" s="26" t="s">
        <v>37</v>
      </c>
      <c r="V289" s="109">
        <v>0.39</v>
      </c>
      <c r="W289" s="109">
        <f>$V$289*$K$289</f>
        <v>3.8695800000000005</v>
      </c>
      <c r="X289" s="109">
        <v>0</v>
      </c>
      <c r="Y289" s="109">
        <f>$X$289*$K$289</f>
        <v>0</v>
      </c>
      <c r="Z289" s="109">
        <v>0</v>
      </c>
      <c r="AA289" s="110">
        <f>$Z$289*$K$289</f>
        <v>0</v>
      </c>
      <c r="AC289" s="138"/>
      <c r="AD289" s="138"/>
      <c r="AE289" s="138"/>
      <c r="AF289" s="138"/>
      <c r="AG289" s="138"/>
      <c r="AH289" s="138"/>
      <c r="AI289" s="138"/>
      <c r="AJ289" s="138"/>
      <c r="AR289" s="6" t="s">
        <v>248</v>
      </c>
      <c r="AT289" s="6" t="s">
        <v>130</v>
      </c>
      <c r="AU289" s="6" t="s">
        <v>82</v>
      </c>
      <c r="AY289" s="6" t="s">
        <v>129</v>
      </c>
      <c r="BE289" s="111">
        <f>IF($U$289="základní",$N$289,0)</f>
        <v>0</v>
      </c>
      <c r="BF289" s="111">
        <f>IF($U$289="snížená",$N$289,0)</f>
        <v>0</v>
      </c>
      <c r="BG289" s="111">
        <f>IF($U$289="zákl. přenesená",$N$289,0)</f>
        <v>0</v>
      </c>
      <c r="BH289" s="111">
        <f>IF($U$289="sníž. přenesená",$N$289,0)</f>
        <v>0</v>
      </c>
      <c r="BI289" s="111">
        <f>IF($U$289="nulová",$N$289,0)</f>
        <v>0</v>
      </c>
      <c r="BJ289" s="6" t="s">
        <v>18</v>
      </c>
      <c r="BK289" s="112">
        <f>ROUND($L$289*$K$289,3)</f>
        <v>0</v>
      </c>
      <c r="BL289" s="6" t="s">
        <v>248</v>
      </c>
    </row>
    <row r="290" spans="2:63" s="94" customFormat="1" ht="30.75" customHeight="1">
      <c r="B290" s="95"/>
      <c r="D290" s="103" t="s">
        <v>111</v>
      </c>
      <c r="N290" s="229">
        <f>SUM(N291:Q296)</f>
        <v>0</v>
      </c>
      <c r="O290" s="228"/>
      <c r="P290" s="228"/>
      <c r="Q290" s="228"/>
      <c r="R290" s="98"/>
      <c r="T290" s="99"/>
      <c r="W290" s="100">
        <f>SUM($W$291:$W$292)</f>
        <v>6.031000000000001</v>
      </c>
      <c r="Y290" s="100">
        <f>SUM($Y$291:$Y$292)</f>
        <v>0.00296</v>
      </c>
      <c r="AA290" s="101">
        <f>SUM($AA$291:$AA$292)</f>
        <v>0</v>
      </c>
      <c r="AC290" s="147"/>
      <c r="AD290" s="140"/>
      <c r="AE290" s="140"/>
      <c r="AF290" s="140"/>
      <c r="AG290" s="140"/>
      <c r="AH290" s="140"/>
      <c r="AI290" s="140"/>
      <c r="AJ290" s="140"/>
      <c r="AR290" s="97" t="s">
        <v>18</v>
      </c>
      <c r="AT290" s="97" t="s">
        <v>71</v>
      </c>
      <c r="AU290" s="97" t="s">
        <v>18</v>
      </c>
      <c r="AY290" s="97" t="s">
        <v>129</v>
      </c>
      <c r="BK290" s="102">
        <f>SUM($BK$291:$BK$292)</f>
        <v>0</v>
      </c>
    </row>
    <row r="291" spans="2:64" s="6" customFormat="1" ht="27" customHeight="1">
      <c r="B291" s="19"/>
      <c r="C291" s="104">
        <v>122</v>
      </c>
      <c r="D291" s="104" t="s">
        <v>130</v>
      </c>
      <c r="E291" s="105" t="s">
        <v>287</v>
      </c>
      <c r="F291" s="223" t="s">
        <v>288</v>
      </c>
      <c r="G291" s="224"/>
      <c r="H291" s="224"/>
      <c r="I291" s="224"/>
      <c r="J291" s="106" t="s">
        <v>149</v>
      </c>
      <c r="K291" s="107">
        <v>37</v>
      </c>
      <c r="L291" s="225"/>
      <c r="M291" s="224"/>
      <c r="N291" s="225">
        <f aca="true" t="shared" si="7" ref="N291:N296">K291*L291</f>
        <v>0</v>
      </c>
      <c r="O291" s="224"/>
      <c r="P291" s="224"/>
      <c r="Q291" s="224"/>
      <c r="R291" s="20"/>
      <c r="T291" s="108"/>
      <c r="U291" s="26" t="s">
        <v>37</v>
      </c>
      <c r="V291" s="109">
        <v>0.08</v>
      </c>
      <c r="W291" s="109">
        <f>$V$291*$K$291</f>
        <v>2.96</v>
      </c>
      <c r="X291" s="109">
        <v>7E-05</v>
      </c>
      <c r="Y291" s="109">
        <f>$X$291*$K$291</f>
        <v>0.00259</v>
      </c>
      <c r="Z291" s="109">
        <v>0</v>
      </c>
      <c r="AA291" s="110">
        <f>$Z$291*$K$291</f>
        <v>0</v>
      </c>
      <c r="AC291" s="138"/>
      <c r="AD291" s="138"/>
      <c r="AE291" s="138"/>
      <c r="AF291" s="138"/>
      <c r="AG291" s="138"/>
      <c r="AH291" s="138"/>
      <c r="AI291" s="138"/>
      <c r="AJ291" s="138"/>
      <c r="AR291" s="6" t="s">
        <v>134</v>
      </c>
      <c r="AT291" s="6" t="s">
        <v>130</v>
      </c>
      <c r="AU291" s="6" t="s">
        <v>82</v>
      </c>
      <c r="AY291" s="6" t="s">
        <v>129</v>
      </c>
      <c r="BE291" s="111">
        <f>IF($U$291="základní",$N$291,0)</f>
        <v>0</v>
      </c>
      <c r="BF291" s="111">
        <f>IF($U$291="snížená",$N$291,0)</f>
        <v>0</v>
      </c>
      <c r="BG291" s="111">
        <f>IF($U$291="zákl. přenesená",$N$291,0)</f>
        <v>0</v>
      </c>
      <c r="BH291" s="111">
        <f>IF($U$291="sníž. přenesená",$N$291,0)</f>
        <v>0</v>
      </c>
      <c r="BI291" s="111">
        <f>IF($U$291="nulová",$N$291,0)</f>
        <v>0</v>
      </c>
      <c r="BJ291" s="6" t="s">
        <v>18</v>
      </c>
      <c r="BK291" s="112">
        <f>ROUND($L$291*$K$291,3)</f>
        <v>0</v>
      </c>
      <c r="BL291" s="6" t="s">
        <v>134</v>
      </c>
    </row>
    <row r="292" spans="2:64" s="6" customFormat="1" ht="15.75" customHeight="1">
      <c r="B292" s="19"/>
      <c r="C292" s="104">
        <v>123</v>
      </c>
      <c r="D292" s="104" t="s">
        <v>130</v>
      </c>
      <c r="E292" s="105" t="s">
        <v>289</v>
      </c>
      <c r="F292" s="223" t="s">
        <v>290</v>
      </c>
      <c r="G292" s="224"/>
      <c r="H292" s="224"/>
      <c r="I292" s="224"/>
      <c r="J292" s="106" t="s">
        <v>149</v>
      </c>
      <c r="K292" s="107">
        <v>37</v>
      </c>
      <c r="L292" s="225"/>
      <c r="M292" s="224"/>
      <c r="N292" s="225">
        <f t="shared" si="7"/>
        <v>0</v>
      </c>
      <c r="O292" s="224"/>
      <c r="P292" s="224"/>
      <c r="Q292" s="224"/>
      <c r="R292" s="20"/>
      <c r="T292" s="108"/>
      <c r="U292" s="26" t="s">
        <v>37</v>
      </c>
      <c r="V292" s="109">
        <v>0.083</v>
      </c>
      <c r="W292" s="109">
        <f>$V$292*$K$292</f>
        <v>3.071</v>
      </c>
      <c r="X292" s="109">
        <v>1E-05</v>
      </c>
      <c r="Y292" s="109">
        <f>$X$292*$K$292</f>
        <v>0.00037000000000000005</v>
      </c>
      <c r="Z292" s="109">
        <v>0</v>
      </c>
      <c r="AA292" s="110">
        <f>$Z$292*$K$292</f>
        <v>0</v>
      </c>
      <c r="AC292" s="138"/>
      <c r="AD292" s="138"/>
      <c r="AE292" s="138"/>
      <c r="AF292" s="138"/>
      <c r="AG292" s="138"/>
      <c r="AH292" s="138"/>
      <c r="AI292" s="138"/>
      <c r="AJ292" s="138"/>
      <c r="AR292" s="6" t="s">
        <v>134</v>
      </c>
      <c r="AT292" s="6" t="s">
        <v>130</v>
      </c>
      <c r="AU292" s="6" t="s">
        <v>82</v>
      </c>
      <c r="AY292" s="6" t="s">
        <v>129</v>
      </c>
      <c r="BE292" s="111">
        <f>IF($U$292="základní",$N$292,0)</f>
        <v>0</v>
      </c>
      <c r="BF292" s="111">
        <f>IF($U$292="snížená",$N$292,0)</f>
        <v>0</v>
      </c>
      <c r="BG292" s="111">
        <f>IF($U$292="zákl. přenesená",$N$292,0)</f>
        <v>0</v>
      </c>
      <c r="BH292" s="111">
        <f>IF($U$292="sníž. přenesená",$N$292,0)</f>
        <v>0</v>
      </c>
      <c r="BI292" s="111">
        <f>IF($U$292="nulová",$N$292,0)</f>
        <v>0</v>
      </c>
      <c r="BJ292" s="6" t="s">
        <v>18</v>
      </c>
      <c r="BK292" s="112">
        <f>ROUND($L$292*$K$292,3)</f>
        <v>0</v>
      </c>
      <c r="BL292" s="6" t="s">
        <v>134</v>
      </c>
    </row>
    <row r="293" spans="2:64" s="6" customFormat="1" ht="29.25" customHeight="1">
      <c r="B293" s="19"/>
      <c r="C293" s="150">
        <v>124</v>
      </c>
      <c r="D293" s="150" t="s">
        <v>130</v>
      </c>
      <c r="E293" s="151" t="s">
        <v>336</v>
      </c>
      <c r="F293" s="248" t="s">
        <v>337</v>
      </c>
      <c r="G293" s="248"/>
      <c r="H293" s="248"/>
      <c r="I293" s="248"/>
      <c r="J293" s="152" t="s">
        <v>183</v>
      </c>
      <c r="K293" s="153">
        <v>20</v>
      </c>
      <c r="L293" s="247"/>
      <c r="M293" s="247"/>
      <c r="N293" s="247">
        <f t="shared" si="7"/>
        <v>0</v>
      </c>
      <c r="O293" s="247"/>
      <c r="P293" s="247"/>
      <c r="Q293" s="247"/>
      <c r="R293" s="20"/>
      <c r="T293" s="108"/>
      <c r="U293" s="26" t="s">
        <v>37</v>
      </c>
      <c r="V293" s="109">
        <v>0.083</v>
      </c>
      <c r="W293" s="109">
        <f>$V$292*$K$292</f>
        <v>3.071</v>
      </c>
      <c r="X293" s="109">
        <v>1E-05</v>
      </c>
      <c r="Y293" s="109">
        <f>$X$292*$K$292</f>
        <v>0.00037000000000000005</v>
      </c>
      <c r="Z293" s="109">
        <v>0</v>
      </c>
      <c r="AA293" s="110">
        <f>$Z$292*$K$292</f>
        <v>0</v>
      </c>
      <c r="AC293" s="138"/>
      <c r="AD293" s="138"/>
      <c r="AE293" s="138"/>
      <c r="AF293" s="138"/>
      <c r="AG293" s="138"/>
      <c r="AH293" s="138"/>
      <c r="AI293" s="138"/>
      <c r="AJ293" s="138"/>
      <c r="AR293" s="6" t="s">
        <v>134</v>
      </c>
      <c r="AT293" s="6" t="s">
        <v>130</v>
      </c>
      <c r="AU293" s="6" t="s">
        <v>82</v>
      </c>
      <c r="AY293" s="6" t="s">
        <v>129</v>
      </c>
      <c r="BE293" s="111">
        <f>IF($U$292="základní",$N$292,0)</f>
        <v>0</v>
      </c>
      <c r="BF293" s="111">
        <f>IF($U$292="snížená",$N$292,0)</f>
        <v>0</v>
      </c>
      <c r="BG293" s="111">
        <f>IF($U$292="zákl. přenesená",$N$292,0)</f>
        <v>0</v>
      </c>
      <c r="BH293" s="111">
        <f>IF($U$292="sníž. přenesená",$N$292,0)</f>
        <v>0</v>
      </c>
      <c r="BI293" s="111">
        <f>IF($U$292="nulová",$N$292,0)</f>
        <v>0</v>
      </c>
      <c r="BJ293" s="6" t="s">
        <v>18</v>
      </c>
      <c r="BK293" s="112">
        <f>ROUND($L$292*$K$292,3)</f>
        <v>0</v>
      </c>
      <c r="BL293" s="6" t="s">
        <v>134</v>
      </c>
    </row>
    <row r="294" spans="2:64" s="6" customFormat="1" ht="27.75" customHeight="1">
      <c r="B294" s="19"/>
      <c r="C294" s="150">
        <v>125</v>
      </c>
      <c r="D294" s="150" t="s">
        <v>130</v>
      </c>
      <c r="E294" s="151" t="s">
        <v>338</v>
      </c>
      <c r="F294" s="248" t="s">
        <v>339</v>
      </c>
      <c r="G294" s="248"/>
      <c r="H294" s="248"/>
      <c r="I294" s="248"/>
      <c r="J294" s="152" t="s">
        <v>183</v>
      </c>
      <c r="K294" s="153">
        <v>20</v>
      </c>
      <c r="L294" s="247"/>
      <c r="M294" s="247"/>
      <c r="N294" s="247">
        <f t="shared" si="7"/>
        <v>0</v>
      </c>
      <c r="O294" s="247"/>
      <c r="P294" s="247"/>
      <c r="Q294" s="247"/>
      <c r="R294" s="20"/>
      <c r="T294" s="108"/>
      <c r="U294" s="26" t="s">
        <v>37</v>
      </c>
      <c r="V294" s="109">
        <v>0.083</v>
      </c>
      <c r="W294" s="109">
        <f>$V$292*$K$292</f>
        <v>3.071</v>
      </c>
      <c r="X294" s="109">
        <v>1E-05</v>
      </c>
      <c r="Y294" s="109">
        <f>$X$292*$K$292</f>
        <v>0.00037000000000000005</v>
      </c>
      <c r="Z294" s="109">
        <v>0</v>
      </c>
      <c r="AA294" s="110">
        <f>$Z$292*$K$292</f>
        <v>0</v>
      </c>
      <c r="AC294" s="138"/>
      <c r="AD294" s="138"/>
      <c r="AE294" s="138"/>
      <c r="AF294" s="138"/>
      <c r="AG294" s="138"/>
      <c r="AH294" s="138"/>
      <c r="AI294" s="138"/>
      <c r="AJ294" s="138"/>
      <c r="AR294" s="6" t="s">
        <v>134</v>
      </c>
      <c r="AT294" s="6" t="s">
        <v>130</v>
      </c>
      <c r="AU294" s="6" t="s">
        <v>82</v>
      </c>
      <c r="AY294" s="6" t="s">
        <v>129</v>
      </c>
      <c r="BE294" s="111">
        <f>IF($U$292="základní",$N$292,0)</f>
        <v>0</v>
      </c>
      <c r="BF294" s="111">
        <f>IF($U$292="snížená",$N$292,0)</f>
        <v>0</v>
      </c>
      <c r="BG294" s="111">
        <f>IF($U$292="zákl. přenesená",$N$292,0)</f>
        <v>0</v>
      </c>
      <c r="BH294" s="111">
        <f>IF($U$292="sníž. přenesená",$N$292,0)</f>
        <v>0</v>
      </c>
      <c r="BI294" s="111">
        <f>IF($U$292="nulová",$N$292,0)</f>
        <v>0</v>
      </c>
      <c r="BJ294" s="6" t="s">
        <v>18</v>
      </c>
      <c r="BK294" s="112">
        <f>ROUND($L$292*$K$292,3)</f>
        <v>0</v>
      </c>
      <c r="BL294" s="6" t="s">
        <v>134</v>
      </c>
    </row>
    <row r="295" spans="2:64" s="6" customFormat="1" ht="29.25" customHeight="1">
      <c r="B295" s="19"/>
      <c r="C295" s="150">
        <v>126</v>
      </c>
      <c r="D295" s="150" t="s">
        <v>130</v>
      </c>
      <c r="E295" s="151" t="s">
        <v>340</v>
      </c>
      <c r="F295" s="248" t="s">
        <v>341</v>
      </c>
      <c r="G295" s="248"/>
      <c r="H295" s="248"/>
      <c r="I295" s="248"/>
      <c r="J295" s="152" t="s">
        <v>183</v>
      </c>
      <c r="K295" s="153">
        <v>20</v>
      </c>
      <c r="L295" s="247"/>
      <c r="M295" s="247"/>
      <c r="N295" s="247">
        <f t="shared" si="7"/>
        <v>0</v>
      </c>
      <c r="O295" s="247"/>
      <c r="P295" s="247"/>
      <c r="Q295" s="247"/>
      <c r="R295" s="20"/>
      <c r="T295" s="108"/>
      <c r="U295" s="26" t="s">
        <v>37</v>
      </c>
      <c r="V295" s="109">
        <v>0.083</v>
      </c>
      <c r="W295" s="109">
        <f>$V$292*$K$292</f>
        <v>3.071</v>
      </c>
      <c r="X295" s="109">
        <v>1E-05</v>
      </c>
      <c r="Y295" s="109">
        <f>$X$292*$K$292</f>
        <v>0.00037000000000000005</v>
      </c>
      <c r="Z295" s="109">
        <v>0</v>
      </c>
      <c r="AA295" s="110">
        <f>$Z$292*$K$292</f>
        <v>0</v>
      </c>
      <c r="AC295" s="138"/>
      <c r="AD295" s="138"/>
      <c r="AE295" s="138"/>
      <c r="AF295" s="138"/>
      <c r="AG295" s="138"/>
      <c r="AH295" s="138"/>
      <c r="AI295" s="138"/>
      <c r="AJ295" s="138"/>
      <c r="AR295" s="6" t="s">
        <v>134</v>
      </c>
      <c r="AT295" s="6" t="s">
        <v>130</v>
      </c>
      <c r="AU295" s="6" t="s">
        <v>82</v>
      </c>
      <c r="AY295" s="6" t="s">
        <v>129</v>
      </c>
      <c r="BE295" s="111">
        <f>IF($U$292="základní",$N$292,0)</f>
        <v>0</v>
      </c>
      <c r="BF295" s="111">
        <f>IF($U$292="snížená",$N$292,0)</f>
        <v>0</v>
      </c>
      <c r="BG295" s="111">
        <f>IF($U$292="zákl. přenesená",$N$292,0)</f>
        <v>0</v>
      </c>
      <c r="BH295" s="111">
        <f>IF($U$292="sníž. přenesená",$N$292,0)</f>
        <v>0</v>
      </c>
      <c r="BI295" s="111">
        <f>IF($U$292="nulová",$N$292,0)</f>
        <v>0</v>
      </c>
      <c r="BJ295" s="6" t="s">
        <v>18</v>
      </c>
      <c r="BK295" s="112">
        <f>ROUND($L$292*$K$292,3)</f>
        <v>0</v>
      </c>
      <c r="BL295" s="6" t="s">
        <v>134</v>
      </c>
    </row>
    <row r="296" spans="2:64" s="6" customFormat="1" ht="29.25" customHeight="1">
      <c r="B296" s="19"/>
      <c r="C296" s="150">
        <v>127</v>
      </c>
      <c r="D296" s="150" t="s">
        <v>130</v>
      </c>
      <c r="E296" s="151"/>
      <c r="F296" s="248" t="s">
        <v>342</v>
      </c>
      <c r="G296" s="248"/>
      <c r="H296" s="248"/>
      <c r="I296" s="248"/>
      <c r="J296" s="152" t="s">
        <v>343</v>
      </c>
      <c r="K296" s="153">
        <v>1</v>
      </c>
      <c r="L296" s="247"/>
      <c r="M296" s="247"/>
      <c r="N296" s="247">
        <f t="shared" si="7"/>
        <v>0</v>
      </c>
      <c r="O296" s="247"/>
      <c r="P296" s="247"/>
      <c r="Q296" s="247"/>
      <c r="R296" s="20"/>
      <c r="T296" s="108"/>
      <c r="U296" s="26" t="s">
        <v>37</v>
      </c>
      <c r="V296" s="109">
        <v>0.083</v>
      </c>
      <c r="W296" s="109">
        <f>$V$292*$K$292</f>
        <v>3.071</v>
      </c>
      <c r="X296" s="109">
        <v>1E-05</v>
      </c>
      <c r="Y296" s="109">
        <f>$X$292*$K$292</f>
        <v>0.00037000000000000005</v>
      </c>
      <c r="Z296" s="109">
        <v>0</v>
      </c>
      <c r="AA296" s="110">
        <f>$Z$292*$K$292</f>
        <v>0</v>
      </c>
      <c r="AC296" s="138"/>
      <c r="AD296" s="138"/>
      <c r="AE296" s="138"/>
      <c r="AF296" s="138"/>
      <c r="AG296" s="138"/>
      <c r="AH296" s="138"/>
      <c r="AI296" s="138"/>
      <c r="AJ296" s="138"/>
      <c r="AR296" s="6" t="s">
        <v>134</v>
      </c>
      <c r="AT296" s="6" t="s">
        <v>130</v>
      </c>
      <c r="AU296" s="6" t="s">
        <v>82</v>
      </c>
      <c r="AY296" s="6" t="s">
        <v>129</v>
      </c>
      <c r="BE296" s="111">
        <f>IF($U$292="základní",$N$292,0)</f>
        <v>0</v>
      </c>
      <c r="BF296" s="111">
        <f>IF($U$292="snížená",$N$292,0)</f>
        <v>0</v>
      </c>
      <c r="BG296" s="111">
        <f>IF($U$292="zákl. přenesená",$N$292,0)</f>
        <v>0</v>
      </c>
      <c r="BH296" s="111">
        <f>IF($U$292="sníž. přenesená",$N$292,0)</f>
        <v>0</v>
      </c>
      <c r="BI296" s="111">
        <f>IF($U$292="nulová",$N$292,0)</f>
        <v>0</v>
      </c>
      <c r="BJ296" s="6" t="s">
        <v>18</v>
      </c>
      <c r="BK296" s="112">
        <f>ROUND($L$292*$K$292,3)</f>
        <v>0</v>
      </c>
      <c r="BL296" s="6" t="s">
        <v>134</v>
      </c>
    </row>
    <row r="297" spans="2:63" s="94" customFormat="1" ht="37.5" customHeight="1">
      <c r="B297" s="95"/>
      <c r="D297" s="96" t="s">
        <v>112</v>
      </c>
      <c r="N297" s="227">
        <f>$BK$297</f>
        <v>0</v>
      </c>
      <c r="O297" s="228"/>
      <c r="P297" s="228"/>
      <c r="Q297" s="228"/>
      <c r="R297" s="98"/>
      <c r="T297" s="99"/>
      <c r="W297" s="100">
        <f>SUM($W$298:$W$302)</f>
        <v>0</v>
      </c>
      <c r="Y297" s="100">
        <f>SUM($Y$298:$Y$302)</f>
        <v>0</v>
      </c>
      <c r="AA297" s="101">
        <f>SUM($AA$298:$AA$302)</f>
        <v>0</v>
      </c>
      <c r="AC297" s="140"/>
      <c r="AD297" s="140"/>
      <c r="AE297" s="140"/>
      <c r="AF297" s="140"/>
      <c r="AG297" s="140"/>
      <c r="AH297" s="140"/>
      <c r="AI297" s="140"/>
      <c r="AJ297" s="140"/>
      <c r="AR297" s="97" t="s">
        <v>134</v>
      </c>
      <c r="AT297" s="97" t="s">
        <v>71</v>
      </c>
      <c r="AU297" s="97" t="s">
        <v>72</v>
      </c>
      <c r="AY297" s="97" t="s">
        <v>129</v>
      </c>
      <c r="BK297" s="102">
        <f>SUM($BK$298:$BK$302)</f>
        <v>0</v>
      </c>
    </row>
    <row r="298" spans="2:64" s="6" customFormat="1" ht="15.75" customHeight="1">
      <c r="B298" s="19"/>
      <c r="C298" s="104">
        <v>128</v>
      </c>
      <c r="D298" s="104" t="s">
        <v>130</v>
      </c>
      <c r="E298" s="105" t="s">
        <v>291</v>
      </c>
      <c r="F298" s="223" t="s">
        <v>292</v>
      </c>
      <c r="G298" s="224"/>
      <c r="H298" s="224"/>
      <c r="I298" s="224"/>
      <c r="J298" s="106" t="s">
        <v>343</v>
      </c>
      <c r="K298" s="107">
        <v>1</v>
      </c>
      <c r="L298" s="225"/>
      <c r="M298" s="224"/>
      <c r="N298" s="225">
        <f>ROUND($L$298*$K$298,3)</f>
        <v>0</v>
      </c>
      <c r="O298" s="224"/>
      <c r="P298" s="224"/>
      <c r="Q298" s="224"/>
      <c r="R298" s="20"/>
      <c r="T298" s="108"/>
      <c r="U298" s="26" t="s">
        <v>37</v>
      </c>
      <c r="V298" s="109">
        <v>0</v>
      </c>
      <c r="W298" s="109">
        <f>$V$298*$K$298</f>
        <v>0</v>
      </c>
      <c r="X298" s="109">
        <v>0</v>
      </c>
      <c r="Y298" s="109">
        <f>$X$298*$K$298</f>
        <v>0</v>
      </c>
      <c r="Z298" s="109">
        <v>0</v>
      </c>
      <c r="AA298" s="110">
        <f>$Z$298*$K$298</f>
        <v>0</v>
      </c>
      <c r="AC298" s="138"/>
      <c r="AD298" s="138"/>
      <c r="AE298" s="138"/>
      <c r="AF298" s="138"/>
      <c r="AG298" s="138"/>
      <c r="AH298" s="138"/>
      <c r="AI298" s="138"/>
      <c r="AJ298" s="138"/>
      <c r="AR298" s="6" t="s">
        <v>293</v>
      </c>
      <c r="AT298" s="6" t="s">
        <v>130</v>
      </c>
      <c r="AU298" s="6" t="s">
        <v>18</v>
      </c>
      <c r="AY298" s="6" t="s">
        <v>129</v>
      </c>
      <c r="BE298" s="111">
        <f>IF($U$298="základní",$N$298,0)</f>
        <v>0</v>
      </c>
      <c r="BF298" s="111">
        <f>IF($U$298="snížená",$N$298,0)</f>
        <v>0</v>
      </c>
      <c r="BG298" s="111">
        <f>IF($U$298="zákl. přenesená",$N$298,0)</f>
        <v>0</v>
      </c>
      <c r="BH298" s="111">
        <f>IF($U$298="sníž. přenesená",$N$298,0)</f>
        <v>0</v>
      </c>
      <c r="BI298" s="111">
        <f>IF($U$298="nulová",$N$298,0)</f>
        <v>0</v>
      </c>
      <c r="BJ298" s="6" t="s">
        <v>18</v>
      </c>
      <c r="BK298" s="112">
        <f>ROUND($L$298*$K$298,3)</f>
        <v>0</v>
      </c>
      <c r="BL298" s="6" t="s">
        <v>293</v>
      </c>
    </row>
    <row r="299" spans="2:64" s="6" customFormat="1" ht="15.75" customHeight="1">
      <c r="B299" s="19"/>
      <c r="C299" s="104">
        <v>129</v>
      </c>
      <c r="D299" s="104" t="s">
        <v>130</v>
      </c>
      <c r="E299" s="105" t="s">
        <v>294</v>
      </c>
      <c r="F299" s="223" t="s">
        <v>295</v>
      </c>
      <c r="G299" s="224"/>
      <c r="H299" s="224"/>
      <c r="I299" s="224"/>
      <c r="J299" s="106" t="s">
        <v>343</v>
      </c>
      <c r="K299" s="107">
        <v>1</v>
      </c>
      <c r="L299" s="225"/>
      <c r="M299" s="224"/>
      <c r="N299" s="225">
        <f>ROUND($L$299*$K$299,3)</f>
        <v>0</v>
      </c>
      <c r="O299" s="224"/>
      <c r="P299" s="224"/>
      <c r="Q299" s="224"/>
      <c r="R299" s="20"/>
      <c r="T299" s="108"/>
      <c r="U299" s="26" t="s">
        <v>37</v>
      </c>
      <c r="V299" s="109">
        <v>0</v>
      </c>
      <c r="W299" s="109">
        <f>$V$299*$K$299</f>
        <v>0</v>
      </c>
      <c r="X299" s="109">
        <v>0</v>
      </c>
      <c r="Y299" s="109">
        <f>$X$299*$K$299</f>
        <v>0</v>
      </c>
      <c r="Z299" s="109">
        <v>0</v>
      </c>
      <c r="AA299" s="110">
        <f>$Z$299*$K$299</f>
        <v>0</v>
      </c>
      <c r="AC299" s="138"/>
      <c r="AD299" s="138"/>
      <c r="AE299" s="138"/>
      <c r="AF299" s="138"/>
      <c r="AG299" s="138"/>
      <c r="AH299" s="138"/>
      <c r="AI299" s="138"/>
      <c r="AJ299" s="138"/>
      <c r="AR299" s="6" t="s">
        <v>293</v>
      </c>
      <c r="AT299" s="6" t="s">
        <v>130</v>
      </c>
      <c r="AU299" s="6" t="s">
        <v>18</v>
      </c>
      <c r="AY299" s="6" t="s">
        <v>129</v>
      </c>
      <c r="BE299" s="111">
        <f>IF($U$299="základní",$N$299,0)</f>
        <v>0</v>
      </c>
      <c r="BF299" s="111">
        <f>IF($U$299="snížená",$N$299,0)</f>
        <v>0</v>
      </c>
      <c r="BG299" s="111">
        <f>IF($U$299="zákl. přenesená",$N$299,0)</f>
        <v>0</v>
      </c>
      <c r="BH299" s="111">
        <f>IF($U$299="sníž. přenesená",$N$299,0)</f>
        <v>0</v>
      </c>
      <c r="BI299" s="111">
        <f>IF($U$299="nulová",$N$299,0)</f>
        <v>0</v>
      </c>
      <c r="BJ299" s="6" t="s">
        <v>18</v>
      </c>
      <c r="BK299" s="112">
        <f>ROUND($L$299*$K$299,3)</f>
        <v>0</v>
      </c>
      <c r="BL299" s="6" t="s">
        <v>293</v>
      </c>
    </row>
    <row r="300" spans="2:64" s="6" customFormat="1" ht="15.75" customHeight="1">
      <c r="B300" s="19"/>
      <c r="C300" s="104">
        <v>130</v>
      </c>
      <c r="D300" s="104" t="s">
        <v>130</v>
      </c>
      <c r="E300" s="105" t="s">
        <v>296</v>
      </c>
      <c r="F300" s="223" t="s">
        <v>297</v>
      </c>
      <c r="G300" s="224"/>
      <c r="H300" s="224"/>
      <c r="I300" s="224"/>
      <c r="J300" s="106" t="s">
        <v>343</v>
      </c>
      <c r="K300" s="107">
        <v>1</v>
      </c>
      <c r="L300" s="225"/>
      <c r="M300" s="224"/>
      <c r="N300" s="225">
        <f>ROUND($L$300*$K$300,3)</f>
        <v>0</v>
      </c>
      <c r="O300" s="224"/>
      <c r="P300" s="224"/>
      <c r="Q300" s="224"/>
      <c r="R300" s="20"/>
      <c r="T300" s="108"/>
      <c r="U300" s="26" t="s">
        <v>37</v>
      </c>
      <c r="V300" s="109">
        <v>0</v>
      </c>
      <c r="W300" s="109">
        <f>$V$300*$K$300</f>
        <v>0</v>
      </c>
      <c r="X300" s="109">
        <v>0</v>
      </c>
      <c r="Y300" s="109">
        <f>$X$300*$K$300</f>
        <v>0</v>
      </c>
      <c r="Z300" s="109">
        <v>0</v>
      </c>
      <c r="AA300" s="110">
        <f>$Z$300*$K$300</f>
        <v>0</v>
      </c>
      <c r="AC300" s="138"/>
      <c r="AD300" s="138"/>
      <c r="AE300" s="138"/>
      <c r="AF300" s="138"/>
      <c r="AG300" s="138"/>
      <c r="AH300" s="138"/>
      <c r="AI300" s="138"/>
      <c r="AJ300" s="138"/>
      <c r="AR300" s="6" t="s">
        <v>298</v>
      </c>
      <c r="AT300" s="6" t="s">
        <v>130</v>
      </c>
      <c r="AU300" s="6" t="s">
        <v>18</v>
      </c>
      <c r="AY300" s="6" t="s">
        <v>129</v>
      </c>
      <c r="BE300" s="111">
        <f>IF($U$300="základní",$N$300,0)</f>
        <v>0</v>
      </c>
      <c r="BF300" s="111">
        <f>IF($U$300="snížená",$N$300,0)</f>
        <v>0</v>
      </c>
      <c r="BG300" s="111">
        <f>IF($U$300="zákl. přenesená",$N$300,0)</f>
        <v>0</v>
      </c>
      <c r="BH300" s="111">
        <f>IF($U$300="sníž. přenesená",$N$300,0)</f>
        <v>0</v>
      </c>
      <c r="BI300" s="111">
        <f>IF($U$300="nulová",$N$300,0)</f>
        <v>0</v>
      </c>
      <c r="BJ300" s="6" t="s">
        <v>18</v>
      </c>
      <c r="BK300" s="112">
        <f>ROUND($L$300*$K$300,3)</f>
        <v>0</v>
      </c>
      <c r="BL300" s="6" t="s">
        <v>298</v>
      </c>
    </row>
    <row r="301" spans="2:64" s="6" customFormat="1" ht="15.75" customHeight="1">
      <c r="B301" s="19"/>
      <c r="C301" s="104">
        <v>131</v>
      </c>
      <c r="D301" s="104" t="s">
        <v>130</v>
      </c>
      <c r="E301" s="105" t="s">
        <v>299</v>
      </c>
      <c r="F301" s="223" t="s">
        <v>364</v>
      </c>
      <c r="G301" s="224"/>
      <c r="H301" s="224"/>
      <c r="I301" s="224"/>
      <c r="J301" s="106" t="s">
        <v>343</v>
      </c>
      <c r="K301" s="107">
        <v>1</v>
      </c>
      <c r="L301" s="225"/>
      <c r="M301" s="224"/>
      <c r="N301" s="225">
        <f>ROUND($L$301*$K$301,3)</f>
        <v>0</v>
      </c>
      <c r="O301" s="224"/>
      <c r="P301" s="224"/>
      <c r="Q301" s="224"/>
      <c r="R301" s="20"/>
      <c r="T301" s="108"/>
      <c r="U301" s="26" t="s">
        <v>37</v>
      </c>
      <c r="V301" s="109">
        <v>0</v>
      </c>
      <c r="W301" s="109">
        <f>$V$301*$K$301</f>
        <v>0</v>
      </c>
      <c r="X301" s="109">
        <v>0</v>
      </c>
      <c r="Y301" s="109">
        <f>$X$301*$K$301</f>
        <v>0</v>
      </c>
      <c r="Z301" s="109">
        <v>0</v>
      </c>
      <c r="AA301" s="110">
        <f>$Z$301*$K$301</f>
        <v>0</v>
      </c>
      <c r="AC301" s="138"/>
      <c r="AD301" s="138"/>
      <c r="AE301" s="138"/>
      <c r="AF301" s="138"/>
      <c r="AG301" s="138"/>
      <c r="AH301" s="138"/>
      <c r="AI301" s="138"/>
      <c r="AJ301" s="138"/>
      <c r="AR301" s="6" t="s">
        <v>298</v>
      </c>
      <c r="AT301" s="6" t="s">
        <v>130</v>
      </c>
      <c r="AU301" s="6" t="s">
        <v>18</v>
      </c>
      <c r="AY301" s="6" t="s">
        <v>129</v>
      </c>
      <c r="BE301" s="111">
        <f>IF($U$301="základní",$N$301,0)</f>
        <v>0</v>
      </c>
      <c r="BF301" s="111">
        <f>IF($U$301="snížená",$N$301,0)</f>
        <v>0</v>
      </c>
      <c r="BG301" s="111">
        <f>IF($U$301="zákl. přenesená",$N$301,0)</f>
        <v>0</v>
      </c>
      <c r="BH301" s="111">
        <f>IF($U$301="sníž. přenesená",$N$301,0)</f>
        <v>0</v>
      </c>
      <c r="BI301" s="111">
        <f>IF($U$301="nulová",$N$301,0)</f>
        <v>0</v>
      </c>
      <c r="BJ301" s="6" t="s">
        <v>18</v>
      </c>
      <c r="BK301" s="112">
        <f>ROUND($L$301*$K$301,3)</f>
        <v>0</v>
      </c>
      <c r="BL301" s="6" t="s">
        <v>298</v>
      </c>
    </row>
    <row r="302" spans="2:64" s="6" customFormat="1" ht="15.75" customHeight="1">
      <c r="B302" s="19"/>
      <c r="C302" s="104">
        <v>132</v>
      </c>
      <c r="D302" s="104" t="s">
        <v>130</v>
      </c>
      <c r="E302" s="105" t="s">
        <v>300</v>
      </c>
      <c r="F302" s="223" t="s">
        <v>309</v>
      </c>
      <c r="G302" s="224"/>
      <c r="H302" s="224"/>
      <c r="I302" s="224"/>
      <c r="J302" s="106" t="s">
        <v>344</v>
      </c>
      <c r="K302" s="107">
        <v>1</v>
      </c>
      <c r="L302" s="225"/>
      <c r="M302" s="224"/>
      <c r="N302" s="225">
        <f>ROUND($L$302*$K$302,3)</f>
        <v>0</v>
      </c>
      <c r="O302" s="224"/>
      <c r="P302" s="224"/>
      <c r="Q302" s="224"/>
      <c r="R302" s="20"/>
      <c r="T302" s="108"/>
      <c r="U302" s="129" t="s">
        <v>37</v>
      </c>
      <c r="V302" s="130">
        <v>0</v>
      </c>
      <c r="W302" s="130">
        <f>$V$302*$K$302</f>
        <v>0</v>
      </c>
      <c r="X302" s="130">
        <v>0</v>
      </c>
      <c r="Y302" s="130">
        <f>$X$302*$K$302</f>
        <v>0</v>
      </c>
      <c r="Z302" s="130">
        <v>0</v>
      </c>
      <c r="AA302" s="131">
        <f>$Z$302*$K$302</f>
        <v>0</v>
      </c>
      <c r="AC302" s="138"/>
      <c r="AD302" s="138"/>
      <c r="AE302" s="138"/>
      <c r="AF302" s="138"/>
      <c r="AG302" s="138"/>
      <c r="AH302" s="138"/>
      <c r="AI302" s="138"/>
      <c r="AJ302" s="138"/>
      <c r="AR302" s="6" t="s">
        <v>298</v>
      </c>
      <c r="AT302" s="6" t="s">
        <v>130</v>
      </c>
      <c r="AU302" s="6" t="s">
        <v>18</v>
      </c>
      <c r="AY302" s="6" t="s">
        <v>129</v>
      </c>
      <c r="BE302" s="111">
        <f>IF($U$302="základní",$N$302,0)</f>
        <v>0</v>
      </c>
      <c r="BF302" s="111">
        <f>IF($U$302="snížená",$N$302,0)</f>
        <v>0</v>
      </c>
      <c r="BG302" s="111">
        <f>IF($U$302="zákl. přenesená",$N$302,0)</f>
        <v>0</v>
      </c>
      <c r="BH302" s="111">
        <f>IF($U$302="sníž. přenesená",$N$302,0)</f>
        <v>0</v>
      </c>
      <c r="BI302" s="111">
        <f>IF($U$302="nulová",$N$302,0)</f>
        <v>0</v>
      </c>
      <c r="BJ302" s="6" t="s">
        <v>18</v>
      </c>
      <c r="BK302" s="112">
        <f>ROUND($L$302*$K$302,3)</f>
        <v>0</v>
      </c>
      <c r="BL302" s="6" t="s">
        <v>298</v>
      </c>
    </row>
    <row r="303" spans="2:36" s="6" customFormat="1" ht="7.5" customHeight="1">
      <c r="B303" s="41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3"/>
      <c r="AC303" s="138"/>
      <c r="AD303" s="138"/>
      <c r="AE303" s="138"/>
      <c r="AF303" s="138"/>
      <c r="AG303" s="138"/>
      <c r="AH303" s="138"/>
      <c r="AI303" s="138"/>
      <c r="AJ303" s="138"/>
    </row>
    <row r="304" spans="29:36" s="2" customFormat="1" ht="14.25" customHeight="1">
      <c r="AC304" s="148"/>
      <c r="AD304" s="148"/>
      <c r="AE304" s="148"/>
      <c r="AF304" s="148"/>
      <c r="AG304" s="148"/>
      <c r="AH304" s="148"/>
      <c r="AI304" s="148"/>
      <c r="AJ304" s="148"/>
    </row>
  </sheetData>
  <mergeCells count="498">
    <mergeCell ref="F292:I292"/>
    <mergeCell ref="L292:M292"/>
    <mergeCell ref="N292:Q292"/>
    <mergeCell ref="F289:I289"/>
    <mergeCell ref="L294:M294"/>
    <mergeCell ref="N294:Q294"/>
    <mergeCell ref="N187:Q187"/>
    <mergeCell ref="N284:Q284"/>
    <mergeCell ref="N296:Q296"/>
    <mergeCell ref="F254:I254"/>
    <mergeCell ref="L254:M254"/>
    <mergeCell ref="N254:Q254"/>
    <mergeCell ref="F295:I295"/>
    <mergeCell ref="L295:M295"/>
    <mergeCell ref="F287:I287"/>
    <mergeCell ref="L287:M287"/>
    <mergeCell ref="N287:Q287"/>
    <mergeCell ref="F288:I288"/>
    <mergeCell ref="L288:M288"/>
    <mergeCell ref="N288:Q288"/>
    <mergeCell ref="L289:M289"/>
    <mergeCell ref="N289:Q289"/>
    <mergeCell ref="F291:I291"/>
    <mergeCell ref="L291:M291"/>
    <mergeCell ref="S2:AC2"/>
    <mergeCell ref="N234:Q234"/>
    <mergeCell ref="N240:Q240"/>
    <mergeCell ref="N249:Q249"/>
    <mergeCell ref="N258:Q258"/>
    <mergeCell ref="N265:Q265"/>
    <mergeCell ref="N213:Q213"/>
    <mergeCell ref="N219:Q219"/>
    <mergeCell ref="M127:Q127"/>
    <mergeCell ref="L201:M201"/>
    <mergeCell ref="L186:M186"/>
    <mergeCell ref="N189:Q189"/>
    <mergeCell ref="L114:Q114"/>
    <mergeCell ref="C120:Q120"/>
    <mergeCell ref="F122:P122"/>
    <mergeCell ref="M124:P124"/>
    <mergeCell ref="M126:Q126"/>
    <mergeCell ref="N105:Q105"/>
    <mergeCell ref="N106:Q106"/>
    <mergeCell ref="N107:Q107"/>
    <mergeCell ref="N108:Q108"/>
    <mergeCell ref="N109:Q109"/>
    <mergeCell ref="N91:Q91"/>
    <mergeCell ref="N92:Q92"/>
    <mergeCell ref="H1:K1"/>
    <mergeCell ref="N153:Q153"/>
    <mergeCell ref="N168:Q168"/>
    <mergeCell ref="N192:Q192"/>
    <mergeCell ref="N197:Q197"/>
    <mergeCell ref="N202:Q202"/>
    <mergeCell ref="N112:Q112"/>
    <mergeCell ref="N170:Q170"/>
    <mergeCell ref="F200:I200"/>
    <mergeCell ref="F201:I201"/>
    <mergeCell ref="F172:I172"/>
    <mergeCell ref="F186:I186"/>
    <mergeCell ref="N201:Q201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89:I189"/>
    <mergeCell ref="L189:M18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298:I298"/>
    <mergeCell ref="L298:M298"/>
    <mergeCell ref="N298:Q298"/>
    <mergeCell ref="L293:M293"/>
    <mergeCell ref="N293:Q293"/>
    <mergeCell ref="F296:I296"/>
    <mergeCell ref="L296:M296"/>
    <mergeCell ref="N297:Q297"/>
    <mergeCell ref="F299:I299"/>
    <mergeCell ref="L299:M299"/>
    <mergeCell ref="N299:Q299"/>
    <mergeCell ref="N295:Q295"/>
    <mergeCell ref="F294:I294"/>
    <mergeCell ref="F293:I293"/>
    <mergeCell ref="N291:Q291"/>
    <mergeCell ref="N290:Q290"/>
    <mergeCell ref="F283:I283"/>
    <mergeCell ref="L283:M283"/>
    <mergeCell ref="N283:Q283"/>
    <mergeCell ref="F285:I285"/>
    <mergeCell ref="L285:M285"/>
    <mergeCell ref="N285:Q285"/>
    <mergeCell ref="F286:I286"/>
    <mergeCell ref="L286:M286"/>
    <mergeCell ref="N286:Q286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5:I275"/>
    <mergeCell ref="L275:M275"/>
    <mergeCell ref="N275:Q275"/>
    <mergeCell ref="F273:I273"/>
    <mergeCell ref="L273:M273"/>
    <mergeCell ref="N273:Q273"/>
    <mergeCell ref="F274:I274"/>
    <mergeCell ref="L274:M274"/>
    <mergeCell ref="N274:Q274"/>
    <mergeCell ref="F268:I268"/>
    <mergeCell ref="F269:I269"/>
    <mergeCell ref="L269:M269"/>
    <mergeCell ref="N269:Q269"/>
    <mergeCell ref="F271:I271"/>
    <mergeCell ref="L271:M271"/>
    <mergeCell ref="N271:Q271"/>
    <mergeCell ref="N270:Q270"/>
    <mergeCell ref="F272:I272"/>
    <mergeCell ref="L272:M272"/>
    <mergeCell ref="N272:Q272"/>
    <mergeCell ref="F263:I263"/>
    <mergeCell ref="F264:I264"/>
    <mergeCell ref="L264:M264"/>
    <mergeCell ref="N264:Q264"/>
    <mergeCell ref="F266:I266"/>
    <mergeCell ref="L266:M266"/>
    <mergeCell ref="N266:Q266"/>
    <mergeCell ref="F267:I267"/>
    <mergeCell ref="L267:M267"/>
    <mergeCell ref="N267:Q267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56:I256"/>
    <mergeCell ref="L256:M256"/>
    <mergeCell ref="N256:Q256"/>
    <mergeCell ref="F257:I257"/>
    <mergeCell ref="L257:M257"/>
    <mergeCell ref="N257:Q257"/>
    <mergeCell ref="F259:I259"/>
    <mergeCell ref="L259:M259"/>
    <mergeCell ref="N259:Q259"/>
    <mergeCell ref="F250:I250"/>
    <mergeCell ref="L250:M250"/>
    <mergeCell ref="N250:Q250"/>
    <mergeCell ref="F251:I251"/>
    <mergeCell ref="L251:M251"/>
    <mergeCell ref="N251:Q251"/>
    <mergeCell ref="F252:I252"/>
    <mergeCell ref="F255:I255"/>
    <mergeCell ref="L255:M255"/>
    <mergeCell ref="N255:Q255"/>
    <mergeCell ref="F253:I253"/>
    <mergeCell ref="L253:M253"/>
    <mergeCell ref="N253:Q253"/>
    <mergeCell ref="F247:I247"/>
    <mergeCell ref="L247:M247"/>
    <mergeCell ref="N247:Q247"/>
    <mergeCell ref="F244:I244"/>
    <mergeCell ref="L244:M244"/>
    <mergeCell ref="N244:Q244"/>
    <mergeCell ref="F248:I248"/>
    <mergeCell ref="L248:M248"/>
    <mergeCell ref="N248:Q248"/>
    <mergeCell ref="F241:I241"/>
    <mergeCell ref="L241:M241"/>
    <mergeCell ref="N241:Q241"/>
    <mergeCell ref="F242:I242"/>
    <mergeCell ref="F246:I246"/>
    <mergeCell ref="L246:M246"/>
    <mergeCell ref="N246:Q246"/>
    <mergeCell ref="F245:I245"/>
    <mergeCell ref="L245:M245"/>
    <mergeCell ref="N245:Q245"/>
    <mergeCell ref="F243:I243"/>
    <mergeCell ref="L243:M243"/>
    <mergeCell ref="N243:Q243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33:I233"/>
    <mergeCell ref="L233:M233"/>
    <mergeCell ref="N233:Q233"/>
    <mergeCell ref="F235:I235"/>
    <mergeCell ref="L235:M235"/>
    <mergeCell ref="N235:Q235"/>
    <mergeCell ref="F236:I236"/>
    <mergeCell ref="L236:M236"/>
    <mergeCell ref="N236:Q236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26:I226"/>
    <mergeCell ref="L226:M226"/>
    <mergeCell ref="N226:Q226"/>
    <mergeCell ref="F227:I227"/>
    <mergeCell ref="L227:M227"/>
    <mergeCell ref="N227:Q227"/>
    <mergeCell ref="F229:I229"/>
    <mergeCell ref="L229:M229"/>
    <mergeCell ref="N229:Q229"/>
    <mergeCell ref="N228:Q228"/>
    <mergeCell ref="F220:I220"/>
    <mergeCell ref="L220:M220"/>
    <mergeCell ref="N220:Q220"/>
    <mergeCell ref="F221:I221"/>
    <mergeCell ref="L221:M221"/>
    <mergeCell ref="N221:Q221"/>
    <mergeCell ref="F222:I222"/>
    <mergeCell ref="F225:I225"/>
    <mergeCell ref="L225:M225"/>
    <mergeCell ref="N225:Q225"/>
    <mergeCell ref="F223:I223"/>
    <mergeCell ref="L223:M223"/>
    <mergeCell ref="N223:Q223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2:I212"/>
    <mergeCell ref="L212:M212"/>
    <mergeCell ref="N212:Q212"/>
    <mergeCell ref="F214:I214"/>
    <mergeCell ref="L214:M214"/>
    <mergeCell ref="N214:Q214"/>
    <mergeCell ref="F215:I215"/>
    <mergeCell ref="L215:M215"/>
    <mergeCell ref="N215:Q215"/>
    <mergeCell ref="F209:I209"/>
    <mergeCell ref="L209:M209"/>
    <mergeCell ref="N209:Q209"/>
    <mergeCell ref="N208:Q208"/>
    <mergeCell ref="F210:I210"/>
    <mergeCell ref="L210:M210"/>
    <mergeCell ref="N210:Q210"/>
    <mergeCell ref="F211:I211"/>
    <mergeCell ref="L211:M211"/>
    <mergeCell ref="N211:Q211"/>
    <mergeCell ref="F204:I204"/>
    <mergeCell ref="L204:M204"/>
    <mergeCell ref="N204:Q204"/>
    <mergeCell ref="F205:I205"/>
    <mergeCell ref="F206:I206"/>
    <mergeCell ref="L206:M206"/>
    <mergeCell ref="N206:Q206"/>
    <mergeCell ref="F207:I207"/>
    <mergeCell ref="L207:M207"/>
    <mergeCell ref="N207:Q207"/>
    <mergeCell ref="F185:I185"/>
    <mergeCell ref="F188:I188"/>
    <mergeCell ref="L188:M188"/>
    <mergeCell ref="N188:Q188"/>
    <mergeCell ref="N186:Q186"/>
    <mergeCell ref="F187:I187"/>
    <mergeCell ref="L187:M187"/>
    <mergeCell ref="F203:I203"/>
    <mergeCell ref="L203:M203"/>
    <mergeCell ref="N203:Q203"/>
    <mergeCell ref="F198:I198"/>
    <mergeCell ref="L198:M198"/>
    <mergeCell ref="N198:Q198"/>
    <mergeCell ref="F199:I199"/>
    <mergeCell ref="L199:M199"/>
    <mergeCell ref="N199:Q199"/>
    <mergeCell ref="F179:I179"/>
    <mergeCell ref="F224:I224"/>
    <mergeCell ref="L224:M224"/>
    <mergeCell ref="N224:Q224"/>
    <mergeCell ref="F180:I180"/>
    <mergeCell ref="L180:M180"/>
    <mergeCell ref="N180:Q180"/>
    <mergeCell ref="F181:I181"/>
    <mergeCell ref="L181:M181"/>
    <mergeCell ref="N181:Q181"/>
    <mergeCell ref="F183:I183"/>
    <mergeCell ref="L183:M183"/>
    <mergeCell ref="N183:Q183"/>
    <mergeCell ref="N182:Q182"/>
    <mergeCell ref="F184:I184"/>
    <mergeCell ref="F190:I190"/>
    <mergeCell ref="F191:I191"/>
    <mergeCell ref="L191:M191"/>
    <mergeCell ref="N191:Q191"/>
    <mergeCell ref="F193:I193"/>
    <mergeCell ref="L193:M193"/>
    <mergeCell ref="N193:Q193"/>
    <mergeCell ref="L184:M184"/>
    <mergeCell ref="N184:Q184"/>
    <mergeCell ref="F173:I173"/>
    <mergeCell ref="L173:M173"/>
    <mergeCell ref="N173:Q173"/>
    <mergeCell ref="F174:I174"/>
    <mergeCell ref="L174:M174"/>
    <mergeCell ref="N174:Q174"/>
    <mergeCell ref="N175:Q175"/>
    <mergeCell ref="F178:I178"/>
    <mergeCell ref="L178:M178"/>
    <mergeCell ref="N178:Q178"/>
    <mergeCell ref="F177:I177"/>
    <mergeCell ref="L177:M177"/>
    <mergeCell ref="N177:Q177"/>
    <mergeCell ref="F176:I176"/>
    <mergeCell ref="L176:M176"/>
    <mergeCell ref="N176:Q176"/>
    <mergeCell ref="F166:I166"/>
    <mergeCell ref="F167:I167"/>
    <mergeCell ref="F169:I169"/>
    <mergeCell ref="L169:M169"/>
    <mergeCell ref="N169:Q169"/>
    <mergeCell ref="F171:I171"/>
    <mergeCell ref="L171:M171"/>
    <mergeCell ref="N171:Q171"/>
    <mergeCell ref="F170:I170"/>
    <mergeCell ref="L170:M170"/>
    <mergeCell ref="F161:I161"/>
    <mergeCell ref="F162:I162"/>
    <mergeCell ref="F163:I163"/>
    <mergeCell ref="L163:M163"/>
    <mergeCell ref="N163:Q163"/>
    <mergeCell ref="F164:I164"/>
    <mergeCell ref="L164:M164"/>
    <mergeCell ref="N164:Q164"/>
    <mergeCell ref="F165:I165"/>
    <mergeCell ref="F156:I156"/>
    <mergeCell ref="L156:M156"/>
    <mergeCell ref="N156:Q156"/>
    <mergeCell ref="F157:I157"/>
    <mergeCell ref="L157:M157"/>
    <mergeCell ref="N157:Q157"/>
    <mergeCell ref="F158:I158"/>
    <mergeCell ref="F159:I159"/>
    <mergeCell ref="F160:I160"/>
    <mergeCell ref="F152:I152"/>
    <mergeCell ref="L152:M152"/>
    <mergeCell ref="N152:Q152"/>
    <mergeCell ref="F154:I154"/>
    <mergeCell ref="L154:M154"/>
    <mergeCell ref="N154:Q154"/>
    <mergeCell ref="F155:I155"/>
    <mergeCell ref="L155:M155"/>
    <mergeCell ref="N155:Q155"/>
    <mergeCell ref="F148:I148"/>
    <mergeCell ref="L148:M148"/>
    <mergeCell ref="N148:Q148"/>
    <mergeCell ref="F149:I149"/>
    <mergeCell ref="L149:M149"/>
    <mergeCell ref="N149:Q149"/>
    <mergeCell ref="F150:I150"/>
    <mergeCell ref="F151:I151"/>
    <mergeCell ref="L151:M151"/>
    <mergeCell ref="N151:Q151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1:I141"/>
    <mergeCell ref="L141:M141"/>
    <mergeCell ref="N141:Q141"/>
    <mergeCell ref="F143:I143"/>
    <mergeCell ref="L143:M143"/>
    <mergeCell ref="N143:Q143"/>
    <mergeCell ref="N142:Q142"/>
    <mergeCell ref="F144:I144"/>
    <mergeCell ref="L144:M144"/>
    <mergeCell ref="N144:Q144"/>
    <mergeCell ref="F137:I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29:I129"/>
    <mergeCell ref="L129:M129"/>
    <mergeCell ref="N129:Q129"/>
    <mergeCell ref="F133:I133"/>
    <mergeCell ref="L133:M133"/>
    <mergeCell ref="N133:Q133"/>
    <mergeCell ref="N130:Q130"/>
    <mergeCell ref="N131:Q131"/>
    <mergeCell ref="N132:Q132"/>
    <mergeCell ref="N95:Q95"/>
    <mergeCell ref="N96:Q96"/>
    <mergeCell ref="N97:Q97"/>
    <mergeCell ref="N98:Q98"/>
    <mergeCell ref="N110:Q110"/>
    <mergeCell ref="N99:Q99"/>
    <mergeCell ref="N100:Q100"/>
    <mergeCell ref="N101:Q101"/>
    <mergeCell ref="N102:Q102"/>
    <mergeCell ref="N103:Q103"/>
    <mergeCell ref="N104:Q104"/>
    <mergeCell ref="M83:Q83"/>
    <mergeCell ref="C85:G85"/>
    <mergeCell ref="N85:Q85"/>
    <mergeCell ref="N87:Q87"/>
    <mergeCell ref="N88:Q88"/>
    <mergeCell ref="N89:Q89"/>
    <mergeCell ref="N90:Q90"/>
    <mergeCell ref="N93:Q93"/>
    <mergeCell ref="N94:Q94"/>
    <mergeCell ref="H31:J31"/>
    <mergeCell ref="M31:P31"/>
    <mergeCell ref="H32:J32"/>
    <mergeCell ref="M32:P32"/>
    <mergeCell ref="L34:P34"/>
    <mergeCell ref="C76:Q76"/>
    <mergeCell ref="F78:P78"/>
    <mergeCell ref="M80:P80"/>
    <mergeCell ref="M82:Q82"/>
    <mergeCell ref="F279:I279"/>
    <mergeCell ref="L279:M279"/>
    <mergeCell ref="N279:Q279"/>
    <mergeCell ref="O13:P13"/>
    <mergeCell ref="O14:P14"/>
    <mergeCell ref="C2:Q2"/>
    <mergeCell ref="C4:Q4"/>
    <mergeCell ref="F6:P6"/>
    <mergeCell ref="O8:P8"/>
    <mergeCell ref="O10:P10"/>
    <mergeCell ref="O11:P11"/>
    <mergeCell ref="O16:P16"/>
    <mergeCell ref="O17:P17"/>
    <mergeCell ref="O19:P19"/>
    <mergeCell ref="O20:P20"/>
    <mergeCell ref="M23:P23"/>
    <mergeCell ref="M24:P24"/>
    <mergeCell ref="M26:P26"/>
    <mergeCell ref="H28:J28"/>
    <mergeCell ref="M28:P28"/>
    <mergeCell ref="H29:J29"/>
    <mergeCell ref="M29:P29"/>
    <mergeCell ref="H30:J30"/>
    <mergeCell ref="M30:P30"/>
    <mergeCell ref="F282:I282"/>
    <mergeCell ref="L282:M282"/>
    <mergeCell ref="N282:Q282"/>
    <mergeCell ref="F281:I281"/>
    <mergeCell ref="L281:M281"/>
    <mergeCell ref="N281:Q281"/>
    <mergeCell ref="F280:I280"/>
    <mergeCell ref="L280:M280"/>
    <mergeCell ref="N280:Q280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2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Efisek2</dc:creator>
  <cp:keywords/>
  <dc:description/>
  <cp:lastModifiedBy>MěÚ Kutná Hora</cp:lastModifiedBy>
  <dcterms:created xsi:type="dcterms:W3CDTF">2014-04-09T19:08:13Z</dcterms:created>
  <dcterms:modified xsi:type="dcterms:W3CDTF">2017-05-05T08:02:19Z</dcterms:modified>
  <cp:category/>
  <cp:version/>
  <cp:contentType/>
  <cp:contentStatus/>
</cp:coreProperties>
</file>