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<sst xmlns="http://schemas.openxmlformats.org/spreadsheetml/2006/main" count="617" uniqueCount="288">
  <si>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</si>
  <si>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</si>
  <si>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</si>
  <si>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</si>
  <si>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</si>
  <si>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</si>
  <si>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</si>
  <si>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</si>
  <si>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</si>
  <si>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</si>
  <si>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</si>
  <si>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</si>
  <si>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</si>
  <si>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</si>
  <si>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</si>
  <si>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</si>
  <si>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</si>
  <si>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</si>
  <si>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</si>
  <si>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</si>
  <si>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</si>
  <si>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</si>
  <si>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</si>
  <si>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</si>
  <si>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</si>
  <si>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</si>
  <si>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</si>
  <si>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</si>
  <si>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</si>
  <si>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</si>
  <si>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</si>
  <si>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</si>
  <si>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</si>
  <si>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</si>
  <si>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</si>
  <si>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</si>
  <si>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</si>
  <si>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</si>
  <si>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</si>
  <si>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</si>
  <si>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</si>
  <si>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</si>
  <si>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</si>
  <si>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</si>
  <si>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</si>
  <si>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</si>
  <si>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</si>
  <si>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</si>
  <si>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</si>
  <si>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</si>
  <si>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</si>
  <si>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</si>
  <si>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</si>
  <si>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</si>
  <si>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Poznámka:</t>
  </si>
  <si>
    <t>Objekt</t>
  </si>
  <si>
    <t>Kód</t>
  </si>
  <si>
    <t>342255024RT1</t>
  </si>
  <si>
    <t>59</t>
  </si>
  <si>
    <t>597092213RT1</t>
  </si>
  <si>
    <t>61</t>
  </si>
  <si>
    <t>612403399RT2</t>
  </si>
  <si>
    <t>611421331RT2</t>
  </si>
  <si>
    <t>612421331RT2</t>
  </si>
  <si>
    <t>612481211RT8</t>
  </si>
  <si>
    <t>612471411RT2</t>
  </si>
  <si>
    <t>63</t>
  </si>
  <si>
    <t>639571000R09</t>
  </si>
  <si>
    <t>631312611R00</t>
  </si>
  <si>
    <t>631361921RT4</t>
  </si>
  <si>
    <t>631319171R00</t>
  </si>
  <si>
    <t>631319161R00</t>
  </si>
  <si>
    <t>64</t>
  </si>
  <si>
    <t>642942111R00</t>
  </si>
  <si>
    <t>55330317</t>
  </si>
  <si>
    <t>55330320</t>
  </si>
  <si>
    <t>711</t>
  </si>
  <si>
    <t>711212003RT1</t>
  </si>
  <si>
    <t>725</t>
  </si>
  <si>
    <t>725000001</t>
  </si>
  <si>
    <t>725000003</t>
  </si>
  <si>
    <t>725000004</t>
  </si>
  <si>
    <t>728</t>
  </si>
  <si>
    <t>728112000R05</t>
  </si>
  <si>
    <t>766</t>
  </si>
  <si>
    <t>766661000R05</t>
  </si>
  <si>
    <t>611617012</t>
  </si>
  <si>
    <t>611617013</t>
  </si>
  <si>
    <t>771</t>
  </si>
  <si>
    <t>771101210RT1</t>
  </si>
  <si>
    <t>771101116R00</t>
  </si>
  <si>
    <t>585817221</t>
  </si>
  <si>
    <t>771101210RT2</t>
  </si>
  <si>
    <t>771575109RT1</t>
  </si>
  <si>
    <t>597623141</t>
  </si>
  <si>
    <t>771579795RT2</t>
  </si>
  <si>
    <t>771475014RT1</t>
  </si>
  <si>
    <t>771578011RT3</t>
  </si>
  <si>
    <t>781</t>
  </si>
  <si>
    <t>781101210RT2</t>
  </si>
  <si>
    <t>781230121R00</t>
  </si>
  <si>
    <t>59781346</t>
  </si>
  <si>
    <t>781111212R00</t>
  </si>
  <si>
    <t>96</t>
  </si>
  <si>
    <t>968072455R00</t>
  </si>
  <si>
    <t>965043441RT1</t>
  </si>
  <si>
    <t>H01</t>
  </si>
  <si>
    <t>998011001R00</t>
  </si>
  <si>
    <t>S</t>
  </si>
  <si>
    <t>979082111R00</t>
  </si>
  <si>
    <t>979094211R00</t>
  </si>
  <si>
    <t>979081111RT2</t>
  </si>
  <si>
    <t>979082219R00</t>
  </si>
  <si>
    <t>979990103R00</t>
  </si>
  <si>
    <t>979093111R00</t>
  </si>
  <si>
    <t>Umývárna jídlonosičů a obnovení garáže</t>
  </si>
  <si>
    <t>Rekonstrukce</t>
  </si>
  <si>
    <t>Pirknerovo náměstí 202, Kutná Hora</t>
  </si>
  <si>
    <t>Zkrácený popis</t>
  </si>
  <si>
    <t>Rozměry</t>
  </si>
  <si>
    <t>Stěny a příčky</t>
  </si>
  <si>
    <t>Kryty pozemních komunikací, letišť a ploch dlážděných (předlažby)</t>
  </si>
  <si>
    <t>Žlab odvodň. ACO ,plochý,dl.1000 mm,</t>
  </si>
  <si>
    <t>Úprava povrchů vnitřní</t>
  </si>
  <si>
    <t>Hrubá výplň rýh ve stěnách maltou ze SMS</t>
  </si>
  <si>
    <t>Oprava váp.omítek stropů do 30% plochy - štukových</t>
  </si>
  <si>
    <t>Oprava vápen.omítek stěn do 30 % pl. - štukových</t>
  </si>
  <si>
    <t>Montáž výztužné sítě (perlinky) do stěrky-stěny</t>
  </si>
  <si>
    <t>Úprava vnitřních stěn štukem</t>
  </si>
  <si>
    <t>Podlahy a podlahové konstrukce</t>
  </si>
  <si>
    <t>Podklad pod podkladní beton ze štěrku tl.100 mm</t>
  </si>
  <si>
    <t>Mazanina betonová podkladní tl. 5 - 8 cm C 16/20</t>
  </si>
  <si>
    <t>Výztuž mazanin svařovanou sítí</t>
  </si>
  <si>
    <t>Mazanina betonová tl. 5 - 8 cm C 16/20</t>
  </si>
  <si>
    <t>Příplatek za stržení povrchu mazaniny tl. 8 cm</t>
  </si>
  <si>
    <t>Příplatek za konečnou úpravu mazanin tl. 8 cm</t>
  </si>
  <si>
    <t>Výplně otvorů</t>
  </si>
  <si>
    <t>Osazení zárubní dveřních ocelových, pl. do 2,5 m2</t>
  </si>
  <si>
    <t>Zárubeň ocelová H 110   700x1970x110 L</t>
  </si>
  <si>
    <t>Zárubeň ocelová H 110   800x1970x110 P</t>
  </si>
  <si>
    <t>Izolace proti vodě</t>
  </si>
  <si>
    <t>Zařizovací předměty</t>
  </si>
  <si>
    <t>Demontáž vybavení umývárny</t>
  </si>
  <si>
    <t>Přesun vybavení umývarny do 25m</t>
  </si>
  <si>
    <t>Zpětná montáž vybavení umývárny</t>
  </si>
  <si>
    <t>Vzduchotechnika</t>
  </si>
  <si>
    <t>Demontáž potrubí plechového vzduchotechnika</t>
  </si>
  <si>
    <t>Konstrukce truhlářské</t>
  </si>
  <si>
    <t>Montáž dveří do zárubně,otevíravých 1kř.do 0,8 m</t>
  </si>
  <si>
    <t>Dveře vnitřní dýha KLASIK plné 1kř. 70x197 cm</t>
  </si>
  <si>
    <t>Dveře vnitřní dýha KLASIK plné 1kř. 80x197 cm</t>
  </si>
  <si>
    <t>Podlahy z dlaždic</t>
  </si>
  <si>
    <t>Penetrace podkladu pod nivelaci</t>
  </si>
  <si>
    <t>Vyrovnání podkladů samonivel. hmotou tl. do 30 mm</t>
  </si>
  <si>
    <t>Samonivelační hmota 3-30 mm</t>
  </si>
  <si>
    <t>Penetrace podkladu pod dlažby</t>
  </si>
  <si>
    <t>Montáž podlah keram.,hladké, tmel, 30x30 cm</t>
  </si>
  <si>
    <t>Obklad soklíků keram.rovných, tmel,výška 10 cm</t>
  </si>
  <si>
    <t>Spára podlaha - stěna, silikonem</t>
  </si>
  <si>
    <t>Obklady (keramické)</t>
  </si>
  <si>
    <t>Penetrace podkladu pod obklady</t>
  </si>
  <si>
    <t>Obkládání stěn vnitř.keram. do tmele do 300x300 mm</t>
  </si>
  <si>
    <t>Bourání konstrukcí</t>
  </si>
  <si>
    <t>Vybourání kovových dveřních zárubní pl. do 2 m2</t>
  </si>
  <si>
    <t>Bourání podkladů bet., potěr tl. 15 - 20cm, nad 4 m2</t>
  </si>
  <si>
    <t>Budovy občanské výstavby</t>
  </si>
  <si>
    <t>Přesun hmot pro budovy zděné výšky do 6 m</t>
  </si>
  <si>
    <t>Přesuny sutí</t>
  </si>
  <si>
    <t>Vnitrostaveništní doprava suti do 10 m</t>
  </si>
  <si>
    <t>Nakládání nebo překládání vybourané suti</t>
  </si>
  <si>
    <t>Odvoz suti a vybour. hmot na skládku do 1 km</t>
  </si>
  <si>
    <t>Příplatek za dopravu suti po suchu za další 1 km</t>
  </si>
  <si>
    <t>Poplatek za skládku suti - beton</t>
  </si>
  <si>
    <t>Uložení suti na skládku bez zhutnění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</si>
  <si>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</si>
  <si>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</si>
  <si>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</si>
  <si>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</si>
  <si>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</si>
  <si>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</si>
  <si>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</si>
  <si>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</si>
  <si>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t</t>
  </si>
  <si>
    <t>kus</t>
  </si>
  <si>
    <t>sb</t>
  </si>
  <si>
    <t>kg</t>
  </si>
  <si>
    <t>Množství</t>
  </si>
  <si>
    <t>25.01.2018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</si>
  <si>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</si>
  <si>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</si>
  <si>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</si>
  <si>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</si>
  <si>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</si>
  <si>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</si>
  <si>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</si>
  <si>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</si>
  <si>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</si>
  <si>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</si>
  <si>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Milan Kořínek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</si>
  <si>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</si>
  <si>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</si>
  <si>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</si>
  <si>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</si>
  <si>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</si>
  <si>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</si>
  <si>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</si>
  <si>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</si>
  <si>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</si>
  <si>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</si>
  <si>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</si>
  <si>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</si>
  <si>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</si>
  <si>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</si>
  <si>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59_</t>
  </si>
  <si>
    <t>61_</t>
  </si>
  <si>
    <t>63_</t>
  </si>
  <si>
    <t>64_</t>
  </si>
  <si>
    <t>711_</t>
  </si>
  <si>
    <t>725_</t>
  </si>
  <si>
    <t>728_</t>
  </si>
  <si>
    <t>766_</t>
  </si>
  <si>
    <t>771_</t>
  </si>
  <si>
    <t>781_</t>
  </si>
  <si>
    <t>96_</t>
  </si>
  <si>
    <t>H01_</t>
  </si>
  <si>
    <t>S_</t>
  </si>
  <si>
    <t>3_</t>
  </si>
  <si>
    <t>5_</t>
  </si>
  <si>
    <t>6_</t>
  </si>
  <si>
    <t>71_</t>
  </si>
  <si>
    <t>72_</t>
  </si>
  <si>
    <t>76_</t>
  </si>
  <si>
    <t>77_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</si>
  <si>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</si>
  <si>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</si>
  <si>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</si>
  <si>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</si>
  <si>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</si>
  <si>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</si>
  <si>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</si>
  <si>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</si>
  <si>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</si>
  <si>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</si>
  <si>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</si>
  <si>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</si>
  <si>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</si>
  <si>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</si>
  <si>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</si>
  <si>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</si>
  <si>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</si>
  <si>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</si>
  <si>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</si>
  <si>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</si>
  <si>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</si>
  <si>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</si>
  <si>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</si>
  <si>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</si>
  <si>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</si>
  <si>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</si>
  <si>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</si>
  <si>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</si>
  <si>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</si>
  <si>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</si>
  <si>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</si>
  <si>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</si>
  <si>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</si>
  <si>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</si>
  <si>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</si>
  <si>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</si>
  <si>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</si>
  <si>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</si>
  <si>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</si>
  <si>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</si>
  <si>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</si>
  <si>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</si>
  <si>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</si>
  <si>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</si>
  <si>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</si>
  <si>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</si>
  <si>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</si>
  <si>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Město Kutná Hora</t>
  </si>
  <si>
    <t>RTS I / 2018</t>
  </si>
  <si>
    <t>Ing.Arch.Jarmila Cetkovská</t>
  </si>
  <si>
    <t>Stěrka hydroizolační, elastická plošná hydroizolace, kombinace bitumenu a plastu, vodotěsná</t>
  </si>
  <si>
    <t>Dlaždice keramická</t>
  </si>
  <si>
    <t>Příplatek za spárovací hmotu vodotěsnou</t>
  </si>
  <si>
    <t>Obkládačka keramická</t>
  </si>
  <si>
    <t>Příčky zděné z porobetonových tvárnic, tl. 10 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</si>
</sst>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vertical="center"/>
      <protection/>
    </xf>
    <xf numFmtId="49" fontId="1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2" fillId="0" borderId="2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12" fillId="0" borderId="35" xfId="0" applyNumberFormat="1" applyFont="1" applyFill="1" applyBorder="1" applyAlignment="1" applyProtection="1">
      <alignment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0" fontId="11" fillId="0" borderId="35" xfId="0" applyNumberFormat="1" applyFont="1" applyFill="1" applyBorder="1" applyAlignment="1" applyProtection="1">
      <alignment vertical="center"/>
      <protection/>
    </xf>
    <xf numFmtId="49" fontId="11" fillId="34" borderId="34" xfId="0" applyNumberFormat="1" applyFont="1" applyFill="1" applyBorder="1" applyAlignment="1" applyProtection="1">
      <alignment vertical="center"/>
      <protection/>
    </xf>
    <xf numFmtId="0" fontId="11" fillId="34" borderId="44" xfId="0" applyNumberFormat="1" applyFont="1" applyFill="1" applyBorder="1" applyAlignment="1" applyProtection="1">
      <alignment vertical="center"/>
      <protection/>
    </xf>
    <xf numFmtId="49" fontId="12" fillId="0" borderId="45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2" fillId="0" borderId="46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47" xfId="0" applyNumberFormat="1" applyFont="1" applyFill="1" applyBorder="1" applyAlignment="1" applyProtection="1">
      <alignment vertical="center"/>
      <protection/>
    </xf>
    <xf numFmtId="49" fontId="12" fillId="0" borderId="48" xfId="0" applyNumberFormat="1" applyFont="1" applyFill="1" applyBorder="1" applyAlignment="1" applyProtection="1">
      <alignment vertical="center"/>
      <protection/>
    </xf>
    <xf numFmtId="0" fontId="12" fillId="0" borderId="41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FF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tabSelected="1" zoomScalePageLayoutView="0" workbookViewId="0" topLeftCell="A1">
      <pane ySplit="11" topLeftCell="A45" activePane="bottomLeft" state="frozen"/>
      <selection pane="topLeft" activeCell="A1" sqref="A1"/>
      <selection pane="bottomLeft" activeCell="D26" sqref="D2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30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2.75">
      <c r="A2" s="58" t="s">
        <v>1</v>
      </c>
      <c r="B2" s="59"/>
      <c r="C2" s="59"/>
      <c r="D2" s="62" t="s">
        <v>115</v>
      </c>
      <c r="E2" s="64" t="s">
        <v>174</v>
      </c>
      <c r="F2" s="59"/>
      <c r="G2" s="64" t="s">
        <v>6</v>
      </c>
      <c r="H2" s="59"/>
      <c r="I2" s="65" t="s">
        <v>193</v>
      </c>
      <c r="J2" s="65" t="s">
        <v>280</v>
      </c>
      <c r="K2" s="59"/>
      <c r="L2" s="59"/>
      <c r="M2" s="66"/>
      <c r="N2" s="1"/>
    </row>
    <row r="3" spans="1:14" ht="12.75">
      <c r="A3" s="60"/>
      <c r="B3" s="61"/>
      <c r="C3" s="61"/>
      <c r="D3" s="63"/>
      <c r="E3" s="61"/>
      <c r="F3" s="61"/>
      <c r="G3" s="61"/>
      <c r="H3" s="61"/>
      <c r="I3" s="61"/>
      <c r="J3" s="61"/>
      <c r="K3" s="61"/>
      <c r="L3" s="61"/>
      <c r="M3" s="67"/>
      <c r="N3" s="1"/>
    </row>
    <row r="4" spans="1:14" ht="12.75">
      <c r="A4" s="68" t="s">
        <v>2</v>
      </c>
      <c r="B4" s="61"/>
      <c r="C4" s="61"/>
      <c r="D4" s="69" t="s">
        <v>116</v>
      </c>
      <c r="E4" s="70" t="s">
        <v>175</v>
      </c>
      <c r="F4" s="61"/>
      <c r="G4" s="70" t="s">
        <v>6</v>
      </c>
      <c r="H4" s="61"/>
      <c r="I4" s="69" t="s">
        <v>194</v>
      </c>
      <c r="J4" s="69" t="s">
        <v>282</v>
      </c>
      <c r="K4" s="61"/>
      <c r="L4" s="61"/>
      <c r="M4" s="67"/>
      <c r="N4" s="1"/>
    </row>
    <row r="5" spans="1:14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7"/>
      <c r="N5" s="1"/>
    </row>
    <row r="6" spans="1:14" ht="12.75">
      <c r="A6" s="68" t="s">
        <v>3</v>
      </c>
      <c r="B6" s="61"/>
      <c r="C6" s="61"/>
      <c r="D6" s="69" t="s">
        <v>117</v>
      </c>
      <c r="E6" s="70" t="s">
        <v>176</v>
      </c>
      <c r="F6" s="61"/>
      <c r="G6" s="70" t="s">
        <v>6</v>
      </c>
      <c r="H6" s="61"/>
      <c r="I6" s="69" t="s">
        <v>195</v>
      </c>
      <c r="J6" s="69" t="s">
        <v>6</v>
      </c>
      <c r="K6" s="61"/>
      <c r="L6" s="61"/>
      <c r="M6" s="67"/>
      <c r="N6" s="1"/>
    </row>
    <row r="7" spans="1:14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7"/>
      <c r="N7" s="1"/>
    </row>
    <row r="8" spans="1:14" ht="12.75">
      <c r="A8" s="68" t="s">
        <v>4</v>
      </c>
      <c r="B8" s="61"/>
      <c r="C8" s="61"/>
      <c r="D8" s="69" t="s">
        <v>6</v>
      </c>
      <c r="E8" s="70" t="s">
        <v>177</v>
      </c>
      <c r="F8" s="61"/>
      <c r="G8" s="70" t="s">
        <v>187</v>
      </c>
      <c r="H8" s="61"/>
      <c r="I8" s="69" t="s">
        <v>196</v>
      </c>
      <c r="J8" s="69" t="s">
        <v>198</v>
      </c>
      <c r="K8" s="61"/>
      <c r="L8" s="61"/>
      <c r="M8" s="67"/>
      <c r="N8" s="1"/>
    </row>
    <row r="9" spans="1:14" ht="12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1"/>
    </row>
    <row r="10" spans="1:14" ht="12.75">
      <c r="A10" s="2" t="s">
        <v>5</v>
      </c>
      <c r="B10" s="11" t="s">
        <v>55</v>
      </c>
      <c r="C10" s="11" t="s">
        <v>56</v>
      </c>
      <c r="D10" s="11" t="s">
        <v>118</v>
      </c>
      <c r="E10" s="11" t="s">
        <v>178</v>
      </c>
      <c r="F10" s="16" t="s">
        <v>186</v>
      </c>
      <c r="G10" s="20" t="s">
        <v>188</v>
      </c>
      <c r="H10" s="71" t="s">
        <v>190</v>
      </c>
      <c r="I10" s="72"/>
      <c r="J10" s="73"/>
      <c r="K10" s="71" t="s">
        <v>200</v>
      </c>
      <c r="L10" s="73"/>
      <c r="M10" s="29" t="s">
        <v>201</v>
      </c>
      <c r="N10" s="33"/>
    </row>
    <row r="11" spans="1:24" ht="12.75">
      <c r="A11" s="3" t="s">
        <v>6</v>
      </c>
      <c r="B11" s="12" t="s">
        <v>6</v>
      </c>
      <c r="C11" s="12" t="s">
        <v>6</v>
      </c>
      <c r="D11" s="15" t="s">
        <v>119</v>
      </c>
      <c r="E11" s="12" t="s">
        <v>6</v>
      </c>
      <c r="F11" s="12" t="s">
        <v>6</v>
      </c>
      <c r="G11" s="21" t="s">
        <v>189</v>
      </c>
      <c r="H11" s="22" t="s">
        <v>191</v>
      </c>
      <c r="I11" s="23" t="s">
        <v>197</v>
      </c>
      <c r="J11" s="24" t="s">
        <v>199</v>
      </c>
      <c r="K11" s="22" t="s">
        <v>188</v>
      </c>
      <c r="L11" s="24" t="s">
        <v>199</v>
      </c>
      <c r="M11" s="30" t="s">
        <v>202</v>
      </c>
      <c r="N11" s="33"/>
      <c r="P11" s="26" t="s">
        <v>203</v>
      </c>
      <c r="Q11" s="26" t="s">
        <v>204</v>
      </c>
      <c r="R11" s="26" t="s">
        <v>205</v>
      </c>
      <c r="S11" s="26" t="s">
        <v>206</v>
      </c>
      <c r="T11" s="26" t="s">
        <v>207</v>
      </c>
      <c r="U11" s="26" t="s">
        <v>208</v>
      </c>
      <c r="V11" s="26" t="s">
        <v>209</v>
      </c>
      <c r="W11" s="26" t="s">
        <v>210</v>
      </c>
      <c r="X11" s="26" t="s">
        <v>211</v>
      </c>
    </row>
    <row r="12" spans="1:37" ht="12.75">
      <c r="A12" s="4"/>
      <c r="B12" s="13"/>
      <c r="C12" s="13" t="s">
        <v>40</v>
      </c>
      <c r="D12" s="13" t="s">
        <v>120</v>
      </c>
      <c r="E12" s="4" t="s">
        <v>6</v>
      </c>
      <c r="F12" s="4" t="s">
        <v>6</v>
      </c>
      <c r="G12" s="4" t="s">
        <v>6</v>
      </c>
      <c r="H12" s="36">
        <f>SUM(H13:H13)</f>
        <v>0</v>
      </c>
      <c r="I12" s="36">
        <f>SUM(I13:I13)</f>
        <v>0</v>
      </c>
      <c r="J12" s="36">
        <f>H12+I12</f>
        <v>0</v>
      </c>
      <c r="K12" s="25"/>
      <c r="L12" s="36">
        <f>SUM(L13:L13)</f>
        <v>1.8602789999999998</v>
      </c>
      <c r="M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5" t="s">
        <v>7</v>
      </c>
      <c r="B13" s="5"/>
      <c r="C13" s="5" t="s">
        <v>57</v>
      </c>
      <c r="D13" s="108" t="s">
        <v>287</v>
      </c>
      <c r="E13" s="5" t="s">
        <v>179</v>
      </c>
      <c r="F13" s="17">
        <v>24.9</v>
      </c>
      <c r="G13" s="17">
        <v>0</v>
      </c>
      <c r="H13" s="17">
        <f>F13*AE13</f>
        <v>0</v>
      </c>
      <c r="I13" s="17">
        <f>J13-H13</f>
        <v>0</v>
      </c>
      <c r="J13" s="17">
        <f>F13*G13</f>
        <v>0</v>
      </c>
      <c r="K13" s="17">
        <v>0.07471</v>
      </c>
      <c r="L13" s="17">
        <f>F13*K13</f>
        <v>1.8602789999999998</v>
      </c>
      <c r="M13" s="31" t="s">
        <v>281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G13*0.631703700742579</f>
        <v>0</v>
      </c>
      <c r="AF13" s="34">
        <f>G13*(1-0.631703700742579)</f>
        <v>0</v>
      </c>
      <c r="AG13" s="31" t="s">
        <v>7</v>
      </c>
      <c r="AM13" s="34">
        <f>F13*AE13</f>
        <v>0</v>
      </c>
      <c r="AN13" s="34">
        <f>F13*AF13</f>
        <v>0</v>
      </c>
      <c r="AO13" s="35" t="s">
        <v>212</v>
      </c>
      <c r="AP13" s="35" t="s">
        <v>226</v>
      </c>
      <c r="AQ13" s="26" t="s">
        <v>235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1.8602789999999998</v>
      </c>
    </row>
    <row r="14" spans="1:37" ht="12.75">
      <c r="A14" s="6"/>
      <c r="B14" s="14"/>
      <c r="C14" s="14" t="s">
        <v>58</v>
      </c>
      <c r="D14" s="14" t="s">
        <v>121</v>
      </c>
      <c r="E14" s="6" t="s">
        <v>6</v>
      </c>
      <c r="F14" s="6" t="s">
        <v>6</v>
      </c>
      <c r="G14" s="6" t="s">
        <v>6</v>
      </c>
      <c r="H14" s="37">
        <f>SUM(H15:H15)</f>
        <v>0</v>
      </c>
      <c r="I14" s="37">
        <f>SUM(I15:I15)</f>
        <v>0</v>
      </c>
      <c r="J14" s="37">
        <f>H14+I14</f>
        <v>0</v>
      </c>
      <c r="K14" s="26"/>
      <c r="L14" s="37">
        <f>SUM(L15:L15)</f>
        <v>0.43467</v>
      </c>
      <c r="M14" s="26"/>
      <c r="Y14" s="26"/>
      <c r="AI14" s="37">
        <f>SUM(Z15:Z15)</f>
        <v>0</v>
      </c>
      <c r="AJ14" s="37">
        <f>SUM(AA15:AA15)</f>
        <v>0</v>
      </c>
      <c r="AK14" s="37">
        <f>SUM(AB15:AB15)</f>
        <v>0</v>
      </c>
    </row>
    <row r="15" spans="1:48" ht="12.75">
      <c r="A15" s="5" t="s">
        <v>8</v>
      </c>
      <c r="B15" s="5"/>
      <c r="C15" s="5" t="s">
        <v>59</v>
      </c>
      <c r="D15" s="5" t="s">
        <v>122</v>
      </c>
      <c r="E15" s="5" t="s">
        <v>180</v>
      </c>
      <c r="F15" s="17">
        <v>3</v>
      </c>
      <c r="G15" s="17">
        <v>0</v>
      </c>
      <c r="H15" s="17">
        <f>F15*AE15</f>
        <v>0</v>
      </c>
      <c r="I15" s="17">
        <f>J15-H15</f>
        <v>0</v>
      </c>
      <c r="J15" s="17">
        <f>F15*G15</f>
        <v>0</v>
      </c>
      <c r="K15" s="17">
        <v>0.14489</v>
      </c>
      <c r="L15" s="17">
        <f>F15*K15</f>
        <v>0.43467</v>
      </c>
      <c r="M15" s="31" t="s">
        <v>281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21</v>
      </c>
      <c r="AE15" s="34">
        <f>G15*0.957132480515546</f>
        <v>0</v>
      </c>
      <c r="AF15" s="34">
        <f>G15*(1-0.957132480515546)</f>
        <v>0</v>
      </c>
      <c r="AG15" s="31" t="s">
        <v>7</v>
      </c>
      <c r="AM15" s="34">
        <f>F15*AE15</f>
        <v>0</v>
      </c>
      <c r="AN15" s="34">
        <f>F15*AF15</f>
        <v>0</v>
      </c>
      <c r="AO15" s="35" t="s">
        <v>213</v>
      </c>
      <c r="AP15" s="35" t="s">
        <v>227</v>
      </c>
      <c r="AQ15" s="26" t="s">
        <v>235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0.43467</v>
      </c>
    </row>
    <row r="16" spans="1:37" ht="12.75">
      <c r="A16" s="6"/>
      <c r="B16" s="14"/>
      <c r="C16" s="14" t="s">
        <v>60</v>
      </c>
      <c r="D16" s="14" t="s">
        <v>123</v>
      </c>
      <c r="E16" s="6" t="s">
        <v>6</v>
      </c>
      <c r="F16" s="6" t="s">
        <v>6</v>
      </c>
      <c r="G16" s="6" t="s">
        <v>6</v>
      </c>
      <c r="H16" s="37">
        <f>SUM(H17:H21)</f>
        <v>0</v>
      </c>
      <c r="I16" s="37">
        <f>SUM(I17:I21)</f>
        <v>0</v>
      </c>
      <c r="J16" s="37">
        <f>H16+I16</f>
        <v>0</v>
      </c>
      <c r="K16" s="26"/>
      <c r="L16" s="37">
        <f>SUM(L17:L21)</f>
        <v>2.0277188</v>
      </c>
      <c r="M16" s="26"/>
      <c r="Y16" s="26"/>
      <c r="AI16" s="37">
        <f>SUM(Z17:Z21)</f>
        <v>0</v>
      </c>
      <c r="AJ16" s="37">
        <f>SUM(AA17:AA21)</f>
        <v>0</v>
      </c>
      <c r="AK16" s="37">
        <f>SUM(AB17:AB21)</f>
        <v>0</v>
      </c>
    </row>
    <row r="17" spans="1:48" ht="12.75">
      <c r="A17" s="5" t="s">
        <v>9</v>
      </c>
      <c r="B17" s="5"/>
      <c r="C17" s="5" t="s">
        <v>61</v>
      </c>
      <c r="D17" s="5" t="s">
        <v>124</v>
      </c>
      <c r="E17" s="5" t="s">
        <v>179</v>
      </c>
      <c r="F17" s="17">
        <v>2.4</v>
      </c>
      <c r="G17" s="17">
        <v>0</v>
      </c>
      <c r="H17" s="17">
        <f>F17*AE17</f>
        <v>0</v>
      </c>
      <c r="I17" s="17">
        <f>J17-H17</f>
        <v>0</v>
      </c>
      <c r="J17" s="17">
        <f>F17*G17</f>
        <v>0</v>
      </c>
      <c r="K17" s="17">
        <v>0.068</v>
      </c>
      <c r="L17" s="17">
        <f>F17*K17</f>
        <v>0.1632</v>
      </c>
      <c r="M17" s="31" t="s">
        <v>281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21</v>
      </c>
      <c r="AE17" s="34">
        <f>G17*0.432750934928945</f>
        <v>0</v>
      </c>
      <c r="AF17" s="34">
        <f>G17*(1-0.432750934928945)</f>
        <v>0</v>
      </c>
      <c r="AG17" s="31" t="s">
        <v>7</v>
      </c>
      <c r="AM17" s="34">
        <f>F17*AE17</f>
        <v>0</v>
      </c>
      <c r="AN17" s="34">
        <f>F17*AF17</f>
        <v>0</v>
      </c>
      <c r="AO17" s="35" t="s">
        <v>214</v>
      </c>
      <c r="AP17" s="35" t="s">
        <v>228</v>
      </c>
      <c r="AQ17" s="26" t="s">
        <v>235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0.1632</v>
      </c>
    </row>
    <row r="18" spans="1:48" ht="12.75">
      <c r="A18" s="5" t="s">
        <v>10</v>
      </c>
      <c r="B18" s="5"/>
      <c r="C18" s="5" t="s">
        <v>62</v>
      </c>
      <c r="D18" s="5" t="s">
        <v>125</v>
      </c>
      <c r="E18" s="5" t="s">
        <v>179</v>
      </c>
      <c r="F18" s="17">
        <v>51.82</v>
      </c>
      <c r="G18" s="17">
        <v>0</v>
      </c>
      <c r="H18" s="17">
        <f>F18*AE18</f>
        <v>0</v>
      </c>
      <c r="I18" s="17">
        <f>J18-H18</f>
        <v>0</v>
      </c>
      <c r="J18" s="17">
        <f>F18*G18</f>
        <v>0</v>
      </c>
      <c r="K18" s="17">
        <v>0.01184</v>
      </c>
      <c r="L18" s="17">
        <f>F18*K18</f>
        <v>0.6135488</v>
      </c>
      <c r="M18" s="31" t="s">
        <v>281</v>
      </c>
      <c r="P18" s="34">
        <f>IF(AG18="5",J18,0)</f>
        <v>0</v>
      </c>
      <c r="R18" s="34">
        <f>IF(AG18="1",H18,0)</f>
        <v>0</v>
      </c>
      <c r="S18" s="34">
        <f>IF(AG18="1",I18,0)</f>
        <v>0</v>
      </c>
      <c r="T18" s="34">
        <f>IF(AG18="7",H18,0)</f>
        <v>0</v>
      </c>
      <c r="U18" s="34">
        <f>IF(AG18="7",I18,0)</f>
        <v>0</v>
      </c>
      <c r="V18" s="34">
        <f>IF(AG18="2",H18,0)</f>
        <v>0</v>
      </c>
      <c r="W18" s="34">
        <f>IF(AG18="2",I18,0)</f>
        <v>0</v>
      </c>
      <c r="X18" s="34">
        <f>IF(AG18="0",J18,0)</f>
        <v>0</v>
      </c>
      <c r="Y18" s="26"/>
      <c r="Z18" s="17">
        <f>IF(AD18=0,J18,0)</f>
        <v>0</v>
      </c>
      <c r="AA18" s="17">
        <f>IF(AD18=15,J18,0)</f>
        <v>0</v>
      </c>
      <c r="AB18" s="17">
        <f>IF(AD18=21,J18,0)</f>
        <v>0</v>
      </c>
      <c r="AD18" s="34">
        <v>21</v>
      </c>
      <c r="AE18" s="34">
        <f>G18*0.239602863095093</f>
        <v>0</v>
      </c>
      <c r="AF18" s="34">
        <f>G18*(1-0.239602863095093)</f>
        <v>0</v>
      </c>
      <c r="AG18" s="31" t="s">
        <v>7</v>
      </c>
      <c r="AM18" s="34">
        <f>F18*AE18</f>
        <v>0</v>
      </c>
      <c r="AN18" s="34">
        <f>F18*AF18</f>
        <v>0</v>
      </c>
      <c r="AO18" s="35" t="s">
        <v>214</v>
      </c>
      <c r="AP18" s="35" t="s">
        <v>228</v>
      </c>
      <c r="AQ18" s="26" t="s">
        <v>235</v>
      </c>
      <c r="AS18" s="34">
        <f>AM18+AN18</f>
        <v>0</v>
      </c>
      <c r="AT18" s="34">
        <f>G18/(100-AU18)*100</f>
        <v>0</v>
      </c>
      <c r="AU18" s="34">
        <v>0</v>
      </c>
      <c r="AV18" s="34">
        <f>L18</f>
        <v>0.6135488</v>
      </c>
    </row>
    <row r="19" spans="1:48" ht="12.75">
      <c r="A19" s="5" t="s">
        <v>11</v>
      </c>
      <c r="B19" s="5"/>
      <c r="C19" s="5" t="s">
        <v>63</v>
      </c>
      <c r="D19" s="5" t="s">
        <v>126</v>
      </c>
      <c r="E19" s="5" t="s">
        <v>179</v>
      </c>
      <c r="F19" s="17">
        <v>81.8</v>
      </c>
      <c r="G19" s="17">
        <v>0</v>
      </c>
      <c r="H19" s="17">
        <f>F19*AE19</f>
        <v>0</v>
      </c>
      <c r="I19" s="17">
        <f>J19-H19</f>
        <v>0</v>
      </c>
      <c r="J19" s="17">
        <f>F19*G19</f>
        <v>0</v>
      </c>
      <c r="K19" s="17">
        <v>0.01038</v>
      </c>
      <c r="L19" s="17">
        <f>F19*K19</f>
        <v>0.849084</v>
      </c>
      <c r="M19" s="31" t="s">
        <v>281</v>
      </c>
      <c r="P19" s="34">
        <f>IF(AG19="5",J19,0)</f>
        <v>0</v>
      </c>
      <c r="R19" s="34">
        <f>IF(AG19="1",H19,0)</f>
        <v>0</v>
      </c>
      <c r="S19" s="34">
        <f>IF(AG19="1",I19,0)</f>
        <v>0</v>
      </c>
      <c r="T19" s="34">
        <f>IF(AG19="7",H19,0)</f>
        <v>0</v>
      </c>
      <c r="U19" s="34">
        <f>IF(AG19="7",I19,0)</f>
        <v>0</v>
      </c>
      <c r="V19" s="34">
        <f>IF(AG19="2",H19,0)</f>
        <v>0</v>
      </c>
      <c r="W19" s="34">
        <f>IF(AG19="2",I19,0)</f>
        <v>0</v>
      </c>
      <c r="X19" s="34">
        <f>IF(AG19="0",J19,0)</f>
        <v>0</v>
      </c>
      <c r="Y19" s="26"/>
      <c r="Z19" s="17">
        <f>IF(AD19=0,J19,0)</f>
        <v>0</v>
      </c>
      <c r="AA19" s="17">
        <f>IF(AD19=15,J19,0)</f>
        <v>0</v>
      </c>
      <c r="AB19" s="17">
        <f>IF(AD19=21,J19,0)</f>
        <v>0</v>
      </c>
      <c r="AD19" s="34">
        <v>21</v>
      </c>
      <c r="AE19" s="34">
        <f>G19*0.242872500249608</f>
        <v>0</v>
      </c>
      <c r="AF19" s="34">
        <f>G19*(1-0.242872500249608)</f>
        <v>0</v>
      </c>
      <c r="AG19" s="31" t="s">
        <v>7</v>
      </c>
      <c r="AM19" s="34">
        <f>F19*AE19</f>
        <v>0</v>
      </c>
      <c r="AN19" s="34">
        <f>F19*AF19</f>
        <v>0</v>
      </c>
      <c r="AO19" s="35" t="s">
        <v>214</v>
      </c>
      <c r="AP19" s="35" t="s">
        <v>228</v>
      </c>
      <c r="AQ19" s="26" t="s">
        <v>235</v>
      </c>
      <c r="AS19" s="34">
        <f>AM19+AN19</f>
        <v>0</v>
      </c>
      <c r="AT19" s="34">
        <f>G19/(100-AU19)*100</f>
        <v>0</v>
      </c>
      <c r="AU19" s="34">
        <v>0</v>
      </c>
      <c r="AV19" s="34">
        <f>L19</f>
        <v>0.849084</v>
      </c>
    </row>
    <row r="20" spans="1:48" ht="12.75">
      <c r="A20" s="5" t="s">
        <v>12</v>
      </c>
      <c r="B20" s="5"/>
      <c r="C20" s="5" t="s">
        <v>64</v>
      </c>
      <c r="D20" s="5" t="s">
        <v>127</v>
      </c>
      <c r="E20" s="5" t="s">
        <v>179</v>
      </c>
      <c r="F20" s="17">
        <v>49.8</v>
      </c>
      <c r="G20" s="17">
        <v>0</v>
      </c>
      <c r="H20" s="17">
        <f>F20*AE20</f>
        <v>0</v>
      </c>
      <c r="I20" s="17">
        <f>J20-H20</f>
        <v>0</v>
      </c>
      <c r="J20" s="17">
        <f>F20*G20</f>
        <v>0</v>
      </c>
      <c r="K20" s="17">
        <v>0.00361</v>
      </c>
      <c r="L20" s="17">
        <f>F20*K20</f>
        <v>0.179778</v>
      </c>
      <c r="M20" s="31" t="s">
        <v>281</v>
      </c>
      <c r="P20" s="34">
        <f>IF(AG20="5",J20,0)</f>
        <v>0</v>
      </c>
      <c r="R20" s="34">
        <f>IF(AG20="1",H20,0)</f>
        <v>0</v>
      </c>
      <c r="S20" s="34">
        <f>IF(AG20="1",I20,0)</f>
        <v>0</v>
      </c>
      <c r="T20" s="34">
        <f>IF(AG20="7",H20,0)</f>
        <v>0</v>
      </c>
      <c r="U20" s="34">
        <f>IF(AG20="7",I20,0)</f>
        <v>0</v>
      </c>
      <c r="V20" s="34">
        <f>IF(AG20="2",H20,0)</f>
        <v>0</v>
      </c>
      <c r="W20" s="34">
        <f>IF(AG20="2",I20,0)</f>
        <v>0</v>
      </c>
      <c r="X20" s="34">
        <f>IF(AG20="0",J20,0)</f>
        <v>0</v>
      </c>
      <c r="Y20" s="26"/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21</v>
      </c>
      <c r="AE20" s="34">
        <f>G20*0.307847858197932</f>
        <v>0</v>
      </c>
      <c r="AF20" s="34">
        <f>G20*(1-0.307847858197932)</f>
        <v>0</v>
      </c>
      <c r="AG20" s="31" t="s">
        <v>7</v>
      </c>
      <c r="AM20" s="34">
        <f>F20*AE20</f>
        <v>0</v>
      </c>
      <c r="AN20" s="34">
        <f>F20*AF20</f>
        <v>0</v>
      </c>
      <c r="AO20" s="35" t="s">
        <v>214</v>
      </c>
      <c r="AP20" s="35" t="s">
        <v>228</v>
      </c>
      <c r="AQ20" s="26" t="s">
        <v>235</v>
      </c>
      <c r="AS20" s="34">
        <f>AM20+AN20</f>
        <v>0</v>
      </c>
      <c r="AT20" s="34">
        <f>G20/(100-AU20)*100</f>
        <v>0</v>
      </c>
      <c r="AU20" s="34">
        <v>0</v>
      </c>
      <c r="AV20" s="34">
        <f>L20</f>
        <v>0.179778</v>
      </c>
    </row>
    <row r="21" spans="1:48" ht="12.75">
      <c r="A21" s="5" t="s">
        <v>13</v>
      </c>
      <c r="B21" s="5"/>
      <c r="C21" s="5" t="s">
        <v>65</v>
      </c>
      <c r="D21" s="5" t="s">
        <v>128</v>
      </c>
      <c r="E21" s="5" t="s">
        <v>179</v>
      </c>
      <c r="F21" s="17">
        <v>49.8</v>
      </c>
      <c r="G21" s="17">
        <v>0</v>
      </c>
      <c r="H21" s="17">
        <f>F21*AE21</f>
        <v>0</v>
      </c>
      <c r="I21" s="17">
        <f>J21-H21</f>
        <v>0</v>
      </c>
      <c r="J21" s="17">
        <f>F21*G21</f>
        <v>0</v>
      </c>
      <c r="K21" s="17">
        <v>0.00446</v>
      </c>
      <c r="L21" s="17">
        <f>F21*K21</f>
        <v>0.222108</v>
      </c>
      <c r="M21" s="31" t="s">
        <v>281</v>
      </c>
      <c r="P21" s="34">
        <f>IF(AG21="5",J21,0)</f>
        <v>0</v>
      </c>
      <c r="R21" s="34">
        <f>IF(AG21="1",H21,0)</f>
        <v>0</v>
      </c>
      <c r="S21" s="34">
        <f>IF(AG21="1",I21,0)</f>
        <v>0</v>
      </c>
      <c r="T21" s="34">
        <f>IF(AG21="7",H21,0)</f>
        <v>0</v>
      </c>
      <c r="U21" s="34">
        <f>IF(AG21="7",I21,0)</f>
        <v>0</v>
      </c>
      <c r="V21" s="34">
        <f>IF(AG21="2",H21,0)</f>
        <v>0</v>
      </c>
      <c r="W21" s="34">
        <f>IF(AG21="2",I21,0)</f>
        <v>0</v>
      </c>
      <c r="X21" s="34">
        <f>IF(AG21="0",J21,0)</f>
        <v>0</v>
      </c>
      <c r="Y21" s="26"/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4">
        <v>21</v>
      </c>
      <c r="AE21" s="34">
        <f>G21*0.136681721373089</f>
        <v>0</v>
      </c>
      <c r="AF21" s="34">
        <f>G21*(1-0.136681721373089)</f>
        <v>0</v>
      </c>
      <c r="AG21" s="31" t="s">
        <v>7</v>
      </c>
      <c r="AM21" s="34">
        <f>F21*AE21</f>
        <v>0</v>
      </c>
      <c r="AN21" s="34">
        <f>F21*AF21</f>
        <v>0</v>
      </c>
      <c r="AO21" s="35" t="s">
        <v>214</v>
      </c>
      <c r="AP21" s="35" t="s">
        <v>228</v>
      </c>
      <c r="AQ21" s="26" t="s">
        <v>235</v>
      </c>
      <c r="AS21" s="34">
        <f>AM21+AN21</f>
        <v>0</v>
      </c>
      <c r="AT21" s="34">
        <f>G21/(100-AU21)*100</f>
        <v>0</v>
      </c>
      <c r="AU21" s="34">
        <v>0</v>
      </c>
      <c r="AV21" s="34">
        <f>L21</f>
        <v>0.222108</v>
      </c>
    </row>
    <row r="22" spans="1:37" ht="12.75">
      <c r="A22" s="6"/>
      <c r="B22" s="14"/>
      <c r="C22" s="14" t="s">
        <v>66</v>
      </c>
      <c r="D22" s="14" t="s">
        <v>129</v>
      </c>
      <c r="E22" s="6" t="s">
        <v>6</v>
      </c>
      <c r="F22" s="6" t="s">
        <v>6</v>
      </c>
      <c r="G22" s="6" t="s">
        <v>6</v>
      </c>
      <c r="H22" s="37">
        <f>SUM(H23:H28)</f>
        <v>0</v>
      </c>
      <c r="I22" s="37">
        <f>SUM(I23:I28)</f>
        <v>0</v>
      </c>
      <c r="J22" s="37">
        <f>H22+I22</f>
        <v>0</v>
      </c>
      <c r="K22" s="26"/>
      <c r="L22" s="37">
        <f>SUM(L23:L28)</f>
        <v>35.9497</v>
      </c>
      <c r="M22" s="26"/>
      <c r="Y22" s="26"/>
      <c r="AI22" s="37">
        <f>SUM(Z23:Z28)</f>
        <v>0</v>
      </c>
      <c r="AJ22" s="37">
        <f>SUM(AA23:AA28)</f>
        <v>0</v>
      </c>
      <c r="AK22" s="37">
        <f>SUM(AB23:AB28)</f>
        <v>0</v>
      </c>
    </row>
    <row r="23" spans="1:48" ht="12.75">
      <c r="A23" s="5" t="s">
        <v>14</v>
      </c>
      <c r="B23" s="5"/>
      <c r="C23" s="5" t="s">
        <v>67</v>
      </c>
      <c r="D23" s="5" t="s">
        <v>130</v>
      </c>
      <c r="E23" s="5" t="s">
        <v>179</v>
      </c>
      <c r="F23" s="17">
        <v>51.82</v>
      </c>
      <c r="G23" s="17">
        <v>0</v>
      </c>
      <c r="H23" s="17">
        <f aca="true" t="shared" si="0" ref="H23:H28">F23*AE23</f>
        <v>0</v>
      </c>
      <c r="I23" s="17">
        <f aca="true" t="shared" si="1" ref="I23:I28">J23-H23</f>
        <v>0</v>
      </c>
      <c r="J23" s="17">
        <f aca="true" t="shared" si="2" ref="J23:J28">F23*G23</f>
        <v>0</v>
      </c>
      <c r="K23" s="17">
        <v>0.18</v>
      </c>
      <c r="L23" s="17">
        <f aca="true" t="shared" si="3" ref="L23:L28">F23*K23</f>
        <v>9.3276</v>
      </c>
      <c r="M23" s="31" t="s">
        <v>281</v>
      </c>
      <c r="P23" s="34">
        <f aca="true" t="shared" si="4" ref="P23:P28">IF(AG23="5",J23,0)</f>
        <v>0</v>
      </c>
      <c r="R23" s="34">
        <f aca="true" t="shared" si="5" ref="R23:R28">IF(AG23="1",H23,0)</f>
        <v>0</v>
      </c>
      <c r="S23" s="34">
        <f aca="true" t="shared" si="6" ref="S23:S28">IF(AG23="1",I23,0)</f>
        <v>0</v>
      </c>
      <c r="T23" s="34">
        <f aca="true" t="shared" si="7" ref="T23:T28">IF(AG23="7",H23,0)</f>
        <v>0</v>
      </c>
      <c r="U23" s="34">
        <f aca="true" t="shared" si="8" ref="U23:U28">IF(AG23="7",I23,0)</f>
        <v>0</v>
      </c>
      <c r="V23" s="34">
        <f aca="true" t="shared" si="9" ref="V23:V28">IF(AG23="2",H23,0)</f>
        <v>0</v>
      </c>
      <c r="W23" s="34">
        <f aca="true" t="shared" si="10" ref="W23:W28">IF(AG23="2",I23,0)</f>
        <v>0</v>
      </c>
      <c r="X23" s="34">
        <f aca="true" t="shared" si="11" ref="X23:X28">IF(AG23="0",J23,0)</f>
        <v>0</v>
      </c>
      <c r="Y23" s="26"/>
      <c r="Z23" s="17">
        <f aca="true" t="shared" si="12" ref="Z23:Z28">IF(AD23=0,J23,0)</f>
        <v>0</v>
      </c>
      <c r="AA23" s="17">
        <f aca="true" t="shared" si="13" ref="AA23:AA28">IF(AD23=15,J23,0)</f>
        <v>0</v>
      </c>
      <c r="AB23" s="17">
        <f aca="true" t="shared" si="14" ref="AB23:AB28">IF(AD23=21,J23,0)</f>
        <v>0</v>
      </c>
      <c r="AD23" s="34">
        <v>21</v>
      </c>
      <c r="AE23" s="34">
        <f>G23*0.573039201326141</f>
        <v>0</v>
      </c>
      <c r="AF23" s="34">
        <f>G23*(1-0.573039201326141)</f>
        <v>0</v>
      </c>
      <c r="AG23" s="31" t="s">
        <v>7</v>
      </c>
      <c r="AM23" s="34">
        <f aca="true" t="shared" si="15" ref="AM23:AM28">F23*AE23</f>
        <v>0</v>
      </c>
      <c r="AN23" s="34">
        <f aca="true" t="shared" si="16" ref="AN23:AN28">F23*AF23</f>
        <v>0</v>
      </c>
      <c r="AO23" s="35" t="s">
        <v>215</v>
      </c>
      <c r="AP23" s="35" t="s">
        <v>228</v>
      </c>
      <c r="AQ23" s="26" t="s">
        <v>235</v>
      </c>
      <c r="AS23" s="34">
        <f aca="true" t="shared" si="17" ref="AS23:AS28">AM23+AN23</f>
        <v>0</v>
      </c>
      <c r="AT23" s="34">
        <f aca="true" t="shared" si="18" ref="AT23:AT28">G23/(100-AU23)*100</f>
        <v>0</v>
      </c>
      <c r="AU23" s="34">
        <v>0</v>
      </c>
      <c r="AV23" s="34">
        <f aca="true" t="shared" si="19" ref="AV23:AV28">L23</f>
        <v>9.3276</v>
      </c>
    </row>
    <row r="24" spans="1:48" ht="12.75">
      <c r="A24" s="5" t="s">
        <v>15</v>
      </c>
      <c r="B24" s="5"/>
      <c r="C24" s="5" t="s">
        <v>68</v>
      </c>
      <c r="D24" s="5" t="s">
        <v>131</v>
      </c>
      <c r="E24" s="5" t="s">
        <v>181</v>
      </c>
      <c r="F24" s="17">
        <v>5.18</v>
      </c>
      <c r="G24" s="17">
        <v>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2.525</v>
      </c>
      <c r="L24" s="17">
        <f t="shared" si="3"/>
        <v>13.0795</v>
      </c>
      <c r="M24" s="31" t="s">
        <v>281</v>
      </c>
      <c r="P24" s="34">
        <f t="shared" si="4"/>
        <v>0</v>
      </c>
      <c r="R24" s="34">
        <f t="shared" si="5"/>
        <v>0</v>
      </c>
      <c r="S24" s="34">
        <f t="shared" si="6"/>
        <v>0</v>
      </c>
      <c r="T24" s="34">
        <f t="shared" si="7"/>
        <v>0</v>
      </c>
      <c r="U24" s="34">
        <f t="shared" si="8"/>
        <v>0</v>
      </c>
      <c r="V24" s="34">
        <f t="shared" si="9"/>
        <v>0</v>
      </c>
      <c r="W24" s="34">
        <f t="shared" si="10"/>
        <v>0</v>
      </c>
      <c r="X24" s="34">
        <f t="shared" si="11"/>
        <v>0</v>
      </c>
      <c r="Y24" s="26"/>
      <c r="Z24" s="17">
        <f t="shared" si="12"/>
        <v>0</v>
      </c>
      <c r="AA24" s="17">
        <f t="shared" si="13"/>
        <v>0</v>
      </c>
      <c r="AB24" s="17">
        <f t="shared" si="14"/>
        <v>0</v>
      </c>
      <c r="AD24" s="34">
        <v>21</v>
      </c>
      <c r="AE24" s="34">
        <f>G24*0.695292585545996</f>
        <v>0</v>
      </c>
      <c r="AF24" s="34">
        <f>G24*(1-0.695292585545996)</f>
        <v>0</v>
      </c>
      <c r="AG24" s="31" t="s">
        <v>7</v>
      </c>
      <c r="AM24" s="34">
        <f t="shared" si="15"/>
        <v>0</v>
      </c>
      <c r="AN24" s="34">
        <f t="shared" si="16"/>
        <v>0</v>
      </c>
      <c r="AO24" s="35" t="s">
        <v>215</v>
      </c>
      <c r="AP24" s="35" t="s">
        <v>228</v>
      </c>
      <c r="AQ24" s="26" t="s">
        <v>235</v>
      </c>
      <c r="AS24" s="34">
        <f t="shared" si="17"/>
        <v>0</v>
      </c>
      <c r="AT24" s="34">
        <f t="shared" si="18"/>
        <v>0</v>
      </c>
      <c r="AU24" s="34">
        <v>0</v>
      </c>
      <c r="AV24" s="34">
        <f t="shared" si="19"/>
        <v>13.0795</v>
      </c>
    </row>
    <row r="25" spans="1:48" ht="12.75">
      <c r="A25" s="5" t="s">
        <v>16</v>
      </c>
      <c r="B25" s="5"/>
      <c r="C25" s="5" t="s">
        <v>69</v>
      </c>
      <c r="D25" s="5" t="s">
        <v>132</v>
      </c>
      <c r="E25" s="5" t="s">
        <v>182</v>
      </c>
      <c r="F25" s="17">
        <v>0.24</v>
      </c>
      <c r="G25" s="17">
        <v>0</v>
      </c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1.06625</v>
      </c>
      <c r="L25" s="17">
        <f t="shared" si="3"/>
        <v>0.25589999999999996</v>
      </c>
      <c r="M25" s="31" t="s">
        <v>281</v>
      </c>
      <c r="P25" s="34">
        <f t="shared" si="4"/>
        <v>0</v>
      </c>
      <c r="R25" s="34">
        <f t="shared" si="5"/>
        <v>0</v>
      </c>
      <c r="S25" s="34">
        <f t="shared" si="6"/>
        <v>0</v>
      </c>
      <c r="T25" s="34">
        <f t="shared" si="7"/>
        <v>0</v>
      </c>
      <c r="U25" s="34">
        <f t="shared" si="8"/>
        <v>0</v>
      </c>
      <c r="V25" s="34">
        <f t="shared" si="9"/>
        <v>0</v>
      </c>
      <c r="W25" s="34">
        <f t="shared" si="10"/>
        <v>0</v>
      </c>
      <c r="X25" s="34">
        <f t="shared" si="11"/>
        <v>0</v>
      </c>
      <c r="Y25" s="26"/>
      <c r="Z25" s="17">
        <f t="shared" si="12"/>
        <v>0</v>
      </c>
      <c r="AA25" s="17">
        <f t="shared" si="13"/>
        <v>0</v>
      </c>
      <c r="AB25" s="17">
        <f t="shared" si="14"/>
        <v>0</v>
      </c>
      <c r="AD25" s="34">
        <v>21</v>
      </c>
      <c r="AE25" s="34">
        <f>G25*0.801191889824024</f>
        <v>0</v>
      </c>
      <c r="AF25" s="34">
        <f>G25*(1-0.801191889824024)</f>
        <v>0</v>
      </c>
      <c r="AG25" s="31" t="s">
        <v>7</v>
      </c>
      <c r="AM25" s="34">
        <f t="shared" si="15"/>
        <v>0</v>
      </c>
      <c r="AN25" s="34">
        <f t="shared" si="16"/>
        <v>0</v>
      </c>
      <c r="AO25" s="35" t="s">
        <v>215</v>
      </c>
      <c r="AP25" s="35" t="s">
        <v>228</v>
      </c>
      <c r="AQ25" s="26" t="s">
        <v>235</v>
      </c>
      <c r="AS25" s="34">
        <f t="shared" si="17"/>
        <v>0</v>
      </c>
      <c r="AT25" s="34">
        <f t="shared" si="18"/>
        <v>0</v>
      </c>
      <c r="AU25" s="34">
        <v>0</v>
      </c>
      <c r="AV25" s="34">
        <f t="shared" si="19"/>
        <v>0.25589999999999996</v>
      </c>
    </row>
    <row r="26" spans="1:48" ht="12.75">
      <c r="A26" s="5" t="s">
        <v>17</v>
      </c>
      <c r="B26" s="5"/>
      <c r="C26" s="5" t="s">
        <v>68</v>
      </c>
      <c r="D26" s="5" t="s">
        <v>133</v>
      </c>
      <c r="E26" s="5" t="s">
        <v>181</v>
      </c>
      <c r="F26" s="17">
        <v>5.18</v>
      </c>
      <c r="G26" s="17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2.525</v>
      </c>
      <c r="L26" s="17">
        <f t="shared" si="3"/>
        <v>13.0795</v>
      </c>
      <c r="M26" s="31" t="s">
        <v>281</v>
      </c>
      <c r="P26" s="34">
        <f t="shared" si="4"/>
        <v>0</v>
      </c>
      <c r="R26" s="34">
        <f t="shared" si="5"/>
        <v>0</v>
      </c>
      <c r="S26" s="34">
        <f t="shared" si="6"/>
        <v>0</v>
      </c>
      <c r="T26" s="34">
        <f t="shared" si="7"/>
        <v>0</v>
      </c>
      <c r="U26" s="34">
        <f t="shared" si="8"/>
        <v>0</v>
      </c>
      <c r="V26" s="34">
        <f t="shared" si="9"/>
        <v>0</v>
      </c>
      <c r="W26" s="34">
        <f t="shared" si="10"/>
        <v>0</v>
      </c>
      <c r="X26" s="34">
        <f t="shared" si="11"/>
        <v>0</v>
      </c>
      <c r="Y26" s="26"/>
      <c r="Z26" s="17">
        <f t="shared" si="12"/>
        <v>0</v>
      </c>
      <c r="AA26" s="17">
        <f t="shared" si="13"/>
        <v>0</v>
      </c>
      <c r="AB26" s="17">
        <f t="shared" si="14"/>
        <v>0</v>
      </c>
      <c r="AD26" s="34">
        <v>21</v>
      </c>
      <c r="AE26" s="34">
        <f>G26*0.664434861145376</f>
        <v>0</v>
      </c>
      <c r="AF26" s="34">
        <f>G26*(1-0.664434861145376)</f>
        <v>0</v>
      </c>
      <c r="AG26" s="31" t="s">
        <v>7</v>
      </c>
      <c r="AM26" s="34">
        <f t="shared" si="15"/>
        <v>0</v>
      </c>
      <c r="AN26" s="34">
        <f t="shared" si="16"/>
        <v>0</v>
      </c>
      <c r="AO26" s="35" t="s">
        <v>215</v>
      </c>
      <c r="AP26" s="35" t="s">
        <v>228</v>
      </c>
      <c r="AQ26" s="26" t="s">
        <v>235</v>
      </c>
      <c r="AS26" s="34">
        <f t="shared" si="17"/>
        <v>0</v>
      </c>
      <c r="AT26" s="34">
        <f t="shared" si="18"/>
        <v>0</v>
      </c>
      <c r="AU26" s="34">
        <v>0</v>
      </c>
      <c r="AV26" s="34">
        <f t="shared" si="19"/>
        <v>13.0795</v>
      </c>
    </row>
    <row r="27" spans="1:48" ht="12.75">
      <c r="A27" s="5" t="s">
        <v>18</v>
      </c>
      <c r="B27" s="5"/>
      <c r="C27" s="5" t="s">
        <v>70</v>
      </c>
      <c r="D27" s="5" t="s">
        <v>134</v>
      </c>
      <c r="E27" s="5" t="s">
        <v>181</v>
      </c>
      <c r="F27" s="17">
        <v>5.18</v>
      </c>
      <c r="G27" s="17">
        <v>0</v>
      </c>
      <c r="H27" s="17">
        <f t="shared" si="0"/>
        <v>0</v>
      </c>
      <c r="I27" s="17">
        <f t="shared" si="1"/>
        <v>0</v>
      </c>
      <c r="J27" s="17">
        <f t="shared" si="2"/>
        <v>0</v>
      </c>
      <c r="K27" s="17">
        <v>0</v>
      </c>
      <c r="L27" s="17">
        <f t="shared" si="3"/>
        <v>0</v>
      </c>
      <c r="M27" s="31" t="s">
        <v>281</v>
      </c>
      <c r="P27" s="34">
        <f t="shared" si="4"/>
        <v>0</v>
      </c>
      <c r="R27" s="34">
        <f t="shared" si="5"/>
        <v>0</v>
      </c>
      <c r="S27" s="34">
        <f t="shared" si="6"/>
        <v>0</v>
      </c>
      <c r="T27" s="34">
        <f t="shared" si="7"/>
        <v>0</v>
      </c>
      <c r="U27" s="34">
        <f t="shared" si="8"/>
        <v>0</v>
      </c>
      <c r="V27" s="34">
        <f t="shared" si="9"/>
        <v>0</v>
      </c>
      <c r="W27" s="34">
        <f t="shared" si="10"/>
        <v>0</v>
      </c>
      <c r="X27" s="34">
        <f t="shared" si="11"/>
        <v>0</v>
      </c>
      <c r="Y27" s="26"/>
      <c r="Z27" s="17">
        <f t="shared" si="12"/>
        <v>0</v>
      </c>
      <c r="AA27" s="17">
        <f t="shared" si="13"/>
        <v>0</v>
      </c>
      <c r="AB27" s="17">
        <f t="shared" si="14"/>
        <v>0</v>
      </c>
      <c r="AD27" s="34">
        <v>21</v>
      </c>
      <c r="AE27" s="34">
        <f>G27*0</f>
        <v>0</v>
      </c>
      <c r="AF27" s="34">
        <f>G27*(1-0)</f>
        <v>0</v>
      </c>
      <c r="AG27" s="31" t="s">
        <v>7</v>
      </c>
      <c r="AM27" s="34">
        <f t="shared" si="15"/>
        <v>0</v>
      </c>
      <c r="AN27" s="34">
        <f t="shared" si="16"/>
        <v>0</v>
      </c>
      <c r="AO27" s="35" t="s">
        <v>215</v>
      </c>
      <c r="AP27" s="35" t="s">
        <v>228</v>
      </c>
      <c r="AQ27" s="26" t="s">
        <v>235</v>
      </c>
      <c r="AS27" s="34">
        <f t="shared" si="17"/>
        <v>0</v>
      </c>
      <c r="AT27" s="34">
        <f t="shared" si="18"/>
        <v>0</v>
      </c>
      <c r="AU27" s="34">
        <v>0</v>
      </c>
      <c r="AV27" s="34">
        <f t="shared" si="19"/>
        <v>0</v>
      </c>
    </row>
    <row r="28" spans="1:48" ht="12.75">
      <c r="A28" s="5" t="s">
        <v>19</v>
      </c>
      <c r="B28" s="5"/>
      <c r="C28" s="5" t="s">
        <v>71</v>
      </c>
      <c r="D28" s="5" t="s">
        <v>135</v>
      </c>
      <c r="E28" s="5" t="s">
        <v>181</v>
      </c>
      <c r="F28" s="17">
        <v>5.18</v>
      </c>
      <c r="G28" s="17">
        <v>0</v>
      </c>
      <c r="H28" s="17">
        <f t="shared" si="0"/>
        <v>0</v>
      </c>
      <c r="I28" s="17">
        <f t="shared" si="1"/>
        <v>0</v>
      </c>
      <c r="J28" s="17">
        <f t="shared" si="2"/>
        <v>0</v>
      </c>
      <c r="K28" s="17">
        <v>0.04</v>
      </c>
      <c r="L28" s="17">
        <f t="shared" si="3"/>
        <v>0.2072</v>
      </c>
      <c r="M28" s="31" t="s">
        <v>281</v>
      </c>
      <c r="P28" s="34">
        <f t="shared" si="4"/>
        <v>0</v>
      </c>
      <c r="R28" s="34">
        <f t="shared" si="5"/>
        <v>0</v>
      </c>
      <c r="S28" s="34">
        <f t="shared" si="6"/>
        <v>0</v>
      </c>
      <c r="T28" s="34">
        <f t="shared" si="7"/>
        <v>0</v>
      </c>
      <c r="U28" s="34">
        <f t="shared" si="8"/>
        <v>0</v>
      </c>
      <c r="V28" s="34">
        <f t="shared" si="9"/>
        <v>0</v>
      </c>
      <c r="W28" s="34">
        <f t="shared" si="10"/>
        <v>0</v>
      </c>
      <c r="X28" s="34">
        <f t="shared" si="11"/>
        <v>0</v>
      </c>
      <c r="Y28" s="26"/>
      <c r="Z28" s="17">
        <f t="shared" si="12"/>
        <v>0</v>
      </c>
      <c r="AA28" s="17">
        <f t="shared" si="13"/>
        <v>0</v>
      </c>
      <c r="AB28" s="17">
        <f t="shared" si="14"/>
        <v>0</v>
      </c>
      <c r="AD28" s="34">
        <v>21</v>
      </c>
      <c r="AE28" s="34">
        <f>G28*0.100516844842531</f>
        <v>0</v>
      </c>
      <c r="AF28" s="34">
        <f>G28*(1-0.100516844842531)</f>
        <v>0</v>
      </c>
      <c r="AG28" s="31" t="s">
        <v>7</v>
      </c>
      <c r="AM28" s="34">
        <f t="shared" si="15"/>
        <v>0</v>
      </c>
      <c r="AN28" s="34">
        <f t="shared" si="16"/>
        <v>0</v>
      </c>
      <c r="AO28" s="35" t="s">
        <v>215</v>
      </c>
      <c r="AP28" s="35" t="s">
        <v>228</v>
      </c>
      <c r="AQ28" s="26" t="s">
        <v>235</v>
      </c>
      <c r="AS28" s="34">
        <f t="shared" si="17"/>
        <v>0</v>
      </c>
      <c r="AT28" s="34">
        <f t="shared" si="18"/>
        <v>0</v>
      </c>
      <c r="AU28" s="34">
        <v>0</v>
      </c>
      <c r="AV28" s="34">
        <f t="shared" si="19"/>
        <v>0.2072</v>
      </c>
    </row>
    <row r="29" spans="1:37" ht="12.75">
      <c r="A29" s="6"/>
      <c r="B29" s="14"/>
      <c r="C29" s="14" t="s">
        <v>72</v>
      </c>
      <c r="D29" s="14" t="s">
        <v>136</v>
      </c>
      <c r="E29" s="6" t="s">
        <v>6</v>
      </c>
      <c r="F29" s="6" t="s">
        <v>6</v>
      </c>
      <c r="G29" s="6" t="s">
        <v>6</v>
      </c>
      <c r="H29" s="37">
        <f>SUM(H30:H32)</f>
        <v>0</v>
      </c>
      <c r="I29" s="37">
        <f>SUM(I30:I32)</f>
        <v>0</v>
      </c>
      <c r="J29" s="37">
        <f>H29+I29</f>
        <v>0</v>
      </c>
      <c r="K29" s="26"/>
      <c r="L29" s="37">
        <f>SUM(L30:L32)</f>
        <v>0.09221</v>
      </c>
      <c r="M29" s="26"/>
      <c r="Y29" s="26"/>
      <c r="AI29" s="37">
        <f>SUM(Z30:Z32)</f>
        <v>0</v>
      </c>
      <c r="AJ29" s="37">
        <f>SUM(AA30:AA32)</f>
        <v>0</v>
      </c>
      <c r="AK29" s="37">
        <f>SUM(AB30:AB32)</f>
        <v>0</v>
      </c>
    </row>
    <row r="30" spans="1:48" ht="12.75">
      <c r="A30" s="5" t="s">
        <v>20</v>
      </c>
      <c r="B30" s="5"/>
      <c r="C30" s="5" t="s">
        <v>73</v>
      </c>
      <c r="D30" s="5" t="s">
        <v>137</v>
      </c>
      <c r="E30" s="5" t="s">
        <v>183</v>
      </c>
      <c r="F30" s="17">
        <v>3</v>
      </c>
      <c r="G30" s="17">
        <v>0</v>
      </c>
      <c r="H30" s="17">
        <f>F30*AE30</f>
        <v>0</v>
      </c>
      <c r="I30" s="17">
        <f>J30-H30</f>
        <v>0</v>
      </c>
      <c r="J30" s="17">
        <f>F30*G30</f>
        <v>0</v>
      </c>
      <c r="K30" s="17">
        <v>0.01897</v>
      </c>
      <c r="L30" s="17">
        <f>F30*K30</f>
        <v>0.05691</v>
      </c>
      <c r="M30" s="31" t="s">
        <v>281</v>
      </c>
      <c r="P30" s="34">
        <f>IF(AG30="5",J30,0)</f>
        <v>0</v>
      </c>
      <c r="R30" s="34">
        <f>IF(AG30="1",H30,0)</f>
        <v>0</v>
      </c>
      <c r="S30" s="34">
        <f>IF(AG30="1",I30,0)</f>
        <v>0</v>
      </c>
      <c r="T30" s="34">
        <f>IF(AG30="7",H30,0)</f>
        <v>0</v>
      </c>
      <c r="U30" s="34">
        <f>IF(AG30="7",I30,0)</f>
        <v>0</v>
      </c>
      <c r="V30" s="34">
        <f>IF(AG30="2",H30,0)</f>
        <v>0</v>
      </c>
      <c r="W30" s="34">
        <f>IF(AG30="2",I30,0)</f>
        <v>0</v>
      </c>
      <c r="X30" s="34">
        <f>IF(AG30="0",J30,0)</f>
        <v>0</v>
      </c>
      <c r="Y30" s="26"/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21</v>
      </c>
      <c r="AE30" s="34">
        <f>G30*0.0223841961852861</f>
        <v>0</v>
      </c>
      <c r="AF30" s="34">
        <f>G30*(1-0.0223841961852861)</f>
        <v>0</v>
      </c>
      <c r="AG30" s="31" t="s">
        <v>7</v>
      </c>
      <c r="AM30" s="34">
        <f>F30*AE30</f>
        <v>0</v>
      </c>
      <c r="AN30" s="34">
        <f>F30*AF30</f>
        <v>0</v>
      </c>
      <c r="AO30" s="35" t="s">
        <v>216</v>
      </c>
      <c r="AP30" s="35" t="s">
        <v>228</v>
      </c>
      <c r="AQ30" s="26" t="s">
        <v>235</v>
      </c>
      <c r="AS30" s="34">
        <f>AM30+AN30</f>
        <v>0</v>
      </c>
      <c r="AT30" s="34">
        <f>G30/(100-AU30)*100</f>
        <v>0</v>
      </c>
      <c r="AU30" s="34">
        <v>0</v>
      </c>
      <c r="AV30" s="34">
        <f>L30</f>
        <v>0.05691</v>
      </c>
    </row>
    <row r="31" spans="1:48" ht="12.75">
      <c r="A31" s="7" t="s">
        <v>21</v>
      </c>
      <c r="B31" s="7"/>
      <c r="C31" s="7" t="s">
        <v>74</v>
      </c>
      <c r="D31" s="7" t="s">
        <v>138</v>
      </c>
      <c r="E31" s="7" t="s">
        <v>183</v>
      </c>
      <c r="F31" s="18">
        <v>1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0.01158</v>
      </c>
      <c r="L31" s="18">
        <f>F31*K31</f>
        <v>0.01158</v>
      </c>
      <c r="M31" s="55" t="s">
        <v>281</v>
      </c>
      <c r="P31" s="34">
        <f>IF(AG31="5",J31,0)</f>
        <v>0</v>
      </c>
      <c r="R31" s="34">
        <f>IF(AG31="1",H31,0)</f>
        <v>0</v>
      </c>
      <c r="S31" s="34">
        <f>IF(AG31="1",I31,0)</f>
        <v>0</v>
      </c>
      <c r="T31" s="34">
        <f>IF(AG31="7",H31,0)</f>
        <v>0</v>
      </c>
      <c r="U31" s="34">
        <f>IF(AG31="7",I31,0)</f>
        <v>0</v>
      </c>
      <c r="V31" s="34">
        <f>IF(AG31="2",H31,0)</f>
        <v>0</v>
      </c>
      <c r="W31" s="34">
        <f>IF(AG31="2",I31,0)</f>
        <v>0</v>
      </c>
      <c r="X31" s="34">
        <f>IF(AG31="0",J31,0)</f>
        <v>0</v>
      </c>
      <c r="Y31" s="26"/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4">
        <v>21</v>
      </c>
      <c r="AE31" s="34">
        <f>G31*1</f>
        <v>0</v>
      </c>
      <c r="AF31" s="34">
        <f>G31*(1-1)</f>
        <v>0</v>
      </c>
      <c r="AG31" s="32" t="s">
        <v>7</v>
      </c>
      <c r="AM31" s="34">
        <f>F31*AE31</f>
        <v>0</v>
      </c>
      <c r="AN31" s="34">
        <f>F31*AF31</f>
        <v>0</v>
      </c>
      <c r="AO31" s="35" t="s">
        <v>216</v>
      </c>
      <c r="AP31" s="35" t="s">
        <v>228</v>
      </c>
      <c r="AQ31" s="26" t="s">
        <v>235</v>
      </c>
      <c r="AS31" s="34">
        <f>AM31+AN31</f>
        <v>0</v>
      </c>
      <c r="AT31" s="34">
        <f>G31/(100-AU31)*100</f>
        <v>0</v>
      </c>
      <c r="AU31" s="34">
        <v>0</v>
      </c>
      <c r="AV31" s="34">
        <f>L31</f>
        <v>0.01158</v>
      </c>
    </row>
    <row r="32" spans="1:48" ht="12.75">
      <c r="A32" s="7" t="s">
        <v>22</v>
      </c>
      <c r="B32" s="7"/>
      <c r="C32" s="7" t="s">
        <v>75</v>
      </c>
      <c r="D32" s="7" t="s">
        <v>139</v>
      </c>
      <c r="E32" s="7" t="s">
        <v>183</v>
      </c>
      <c r="F32" s="18">
        <v>2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0.01186</v>
      </c>
      <c r="L32" s="18">
        <f>F32*K32</f>
        <v>0.02372</v>
      </c>
      <c r="M32" s="55" t="s">
        <v>281</v>
      </c>
      <c r="P32" s="34">
        <f>IF(AG32="5",J32,0)</f>
        <v>0</v>
      </c>
      <c r="R32" s="34">
        <f>IF(AG32="1",H32,0)</f>
        <v>0</v>
      </c>
      <c r="S32" s="34">
        <f>IF(AG32="1",I32,0)</f>
        <v>0</v>
      </c>
      <c r="T32" s="34">
        <f>IF(AG32="7",H32,0)</f>
        <v>0</v>
      </c>
      <c r="U32" s="34">
        <f>IF(AG32="7",I32,0)</f>
        <v>0</v>
      </c>
      <c r="V32" s="34">
        <f>IF(AG32="2",H32,0)</f>
        <v>0</v>
      </c>
      <c r="W32" s="34">
        <f>IF(AG32="2",I32,0)</f>
        <v>0</v>
      </c>
      <c r="X32" s="34">
        <f>IF(AG32="0",J32,0)</f>
        <v>0</v>
      </c>
      <c r="Y32" s="26"/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4">
        <v>21</v>
      </c>
      <c r="AE32" s="34">
        <f>G32*1</f>
        <v>0</v>
      </c>
      <c r="AF32" s="34">
        <f>G32*(1-1)</f>
        <v>0</v>
      </c>
      <c r="AG32" s="32" t="s">
        <v>7</v>
      </c>
      <c r="AM32" s="34">
        <f>F32*AE32</f>
        <v>0</v>
      </c>
      <c r="AN32" s="34">
        <f>F32*AF32</f>
        <v>0</v>
      </c>
      <c r="AO32" s="35" t="s">
        <v>216</v>
      </c>
      <c r="AP32" s="35" t="s">
        <v>228</v>
      </c>
      <c r="AQ32" s="26" t="s">
        <v>235</v>
      </c>
      <c r="AS32" s="34">
        <f>AM32+AN32</f>
        <v>0</v>
      </c>
      <c r="AT32" s="34">
        <f>G32/(100-AU32)*100</f>
        <v>0</v>
      </c>
      <c r="AU32" s="34">
        <v>0</v>
      </c>
      <c r="AV32" s="34">
        <f>L32</f>
        <v>0.02372</v>
      </c>
    </row>
    <row r="33" spans="1:37" ht="12.75">
      <c r="A33" s="6"/>
      <c r="B33" s="14"/>
      <c r="C33" s="14" t="s">
        <v>76</v>
      </c>
      <c r="D33" s="14" t="s">
        <v>140</v>
      </c>
      <c r="E33" s="6" t="s">
        <v>6</v>
      </c>
      <c r="F33" s="6" t="s">
        <v>6</v>
      </c>
      <c r="G33" s="6" t="s">
        <v>6</v>
      </c>
      <c r="H33" s="37">
        <f>SUM(H34:H34)</f>
        <v>0</v>
      </c>
      <c r="I33" s="37">
        <f>SUM(I34:I34)</f>
        <v>0</v>
      </c>
      <c r="J33" s="37">
        <f>H33+I33</f>
        <v>0</v>
      </c>
      <c r="K33" s="26"/>
      <c r="L33" s="37">
        <f>SUM(L34:L34)</f>
        <v>0.23625</v>
      </c>
      <c r="M33" s="26"/>
      <c r="Y33" s="26"/>
      <c r="AI33" s="37">
        <f>SUM(Z34:Z34)</f>
        <v>0</v>
      </c>
      <c r="AJ33" s="37">
        <f>SUM(AA34:AA34)</f>
        <v>0</v>
      </c>
      <c r="AK33" s="37">
        <f>SUM(AB34:AB34)</f>
        <v>0</v>
      </c>
    </row>
    <row r="34" spans="1:48" ht="25.5">
      <c r="A34" s="5" t="s">
        <v>23</v>
      </c>
      <c r="B34" s="5"/>
      <c r="C34" s="5" t="s">
        <v>77</v>
      </c>
      <c r="D34" s="106" t="s">
        <v>283</v>
      </c>
      <c r="E34" s="5" t="s">
        <v>179</v>
      </c>
      <c r="F34" s="17">
        <v>56.25</v>
      </c>
      <c r="G34" s="17">
        <v>0</v>
      </c>
      <c r="H34" s="17">
        <f>F34*AE34</f>
        <v>0</v>
      </c>
      <c r="I34" s="17">
        <f>J34-H34</f>
        <v>0</v>
      </c>
      <c r="J34" s="17">
        <f>F34*G34</f>
        <v>0</v>
      </c>
      <c r="K34" s="17">
        <v>0.0042</v>
      </c>
      <c r="L34" s="17">
        <f>F34*K34</f>
        <v>0.23625</v>
      </c>
      <c r="M34" s="31" t="s">
        <v>281</v>
      </c>
      <c r="P34" s="34">
        <f>IF(AG34="5",J34,0)</f>
        <v>0</v>
      </c>
      <c r="R34" s="34">
        <f>IF(AG34="1",H34,0)</f>
        <v>0</v>
      </c>
      <c r="S34" s="34">
        <f>IF(AG34="1",I34,0)</f>
        <v>0</v>
      </c>
      <c r="T34" s="34">
        <f>IF(AG34="7",H34,0)</f>
        <v>0</v>
      </c>
      <c r="U34" s="34">
        <f>IF(AG34="7",I34,0)</f>
        <v>0</v>
      </c>
      <c r="V34" s="34">
        <f>IF(AG34="2",H34,0)</f>
        <v>0</v>
      </c>
      <c r="W34" s="34">
        <f>IF(AG34="2",I34,0)</f>
        <v>0</v>
      </c>
      <c r="X34" s="34">
        <f>IF(AG34="0",J34,0)</f>
        <v>0</v>
      </c>
      <c r="Y34" s="26"/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21</v>
      </c>
      <c r="AE34" s="34">
        <f>G34*0.656169450425457</f>
        <v>0</v>
      </c>
      <c r="AF34" s="34">
        <f>G34*(1-0.656169450425457)</f>
        <v>0</v>
      </c>
      <c r="AG34" s="31" t="s">
        <v>13</v>
      </c>
      <c r="AM34" s="34">
        <f>F34*AE34</f>
        <v>0</v>
      </c>
      <c r="AN34" s="34">
        <f>F34*AF34</f>
        <v>0</v>
      </c>
      <c r="AO34" s="35" t="s">
        <v>217</v>
      </c>
      <c r="AP34" s="35" t="s">
        <v>229</v>
      </c>
      <c r="AQ34" s="26" t="s">
        <v>235</v>
      </c>
      <c r="AS34" s="34">
        <f>AM34+AN34</f>
        <v>0</v>
      </c>
      <c r="AT34" s="34">
        <f>G34/(100-AU34)*100</f>
        <v>0</v>
      </c>
      <c r="AU34" s="34">
        <v>0</v>
      </c>
      <c r="AV34" s="34">
        <f>L34</f>
        <v>0.23625</v>
      </c>
    </row>
    <row r="35" spans="1:37" ht="12.75">
      <c r="A35" s="6"/>
      <c r="B35" s="14"/>
      <c r="C35" s="14" t="s">
        <v>78</v>
      </c>
      <c r="D35" s="14" t="s">
        <v>141</v>
      </c>
      <c r="E35" s="6" t="s">
        <v>6</v>
      </c>
      <c r="F35" s="6" t="s">
        <v>6</v>
      </c>
      <c r="G35" s="6" t="s">
        <v>6</v>
      </c>
      <c r="H35" s="37">
        <f>SUM(H36:H38)</f>
        <v>0</v>
      </c>
      <c r="I35" s="37">
        <f>SUM(I36:I38)</f>
        <v>0</v>
      </c>
      <c r="J35" s="37">
        <f>H35+I35</f>
        <v>0</v>
      </c>
      <c r="K35" s="26"/>
      <c r="L35" s="37">
        <f>SUM(L36:L38)</f>
        <v>0</v>
      </c>
      <c r="M35" s="26"/>
      <c r="Y35" s="26"/>
      <c r="AI35" s="37">
        <f>SUM(Z36:Z38)</f>
        <v>0</v>
      </c>
      <c r="AJ35" s="37">
        <f>SUM(AA36:AA38)</f>
        <v>0</v>
      </c>
      <c r="AK35" s="37">
        <f>SUM(AB36:AB38)</f>
        <v>0</v>
      </c>
    </row>
    <row r="36" spans="1:48" ht="12.75">
      <c r="A36" s="5" t="s">
        <v>24</v>
      </c>
      <c r="B36" s="5"/>
      <c r="C36" s="5" t="s">
        <v>79</v>
      </c>
      <c r="D36" s="5" t="s">
        <v>142</v>
      </c>
      <c r="E36" s="5" t="s">
        <v>184</v>
      </c>
      <c r="F36" s="17">
        <v>1</v>
      </c>
      <c r="G36" s="17">
        <v>0</v>
      </c>
      <c r="H36" s="17">
        <f>F36*AE36</f>
        <v>0</v>
      </c>
      <c r="I36" s="17">
        <f>J36-H36</f>
        <v>0</v>
      </c>
      <c r="J36" s="17">
        <f>F36*G36</f>
        <v>0</v>
      </c>
      <c r="K36" s="17">
        <v>0</v>
      </c>
      <c r="L36" s="17">
        <f>F36*K36</f>
        <v>0</v>
      </c>
      <c r="M36" s="31" t="s">
        <v>281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21</v>
      </c>
      <c r="AE36" s="34">
        <f>G36*0</f>
        <v>0</v>
      </c>
      <c r="AF36" s="34">
        <f>G36*(1-0)</f>
        <v>0</v>
      </c>
      <c r="AG36" s="31" t="s">
        <v>13</v>
      </c>
      <c r="AM36" s="34">
        <f>F36*AE36</f>
        <v>0</v>
      </c>
      <c r="AN36" s="34">
        <f>F36*AF36</f>
        <v>0</v>
      </c>
      <c r="AO36" s="35" t="s">
        <v>218</v>
      </c>
      <c r="AP36" s="35" t="s">
        <v>230</v>
      </c>
      <c r="AQ36" s="26" t="s">
        <v>235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0</v>
      </c>
    </row>
    <row r="37" spans="1:48" ht="12.75">
      <c r="A37" s="5" t="s">
        <v>25</v>
      </c>
      <c r="B37" s="5"/>
      <c r="C37" s="5" t="s">
        <v>80</v>
      </c>
      <c r="D37" s="5" t="s">
        <v>143</v>
      </c>
      <c r="E37" s="5" t="s">
        <v>184</v>
      </c>
      <c r="F37" s="17">
        <v>1</v>
      </c>
      <c r="G37" s="17">
        <v>0</v>
      </c>
      <c r="H37" s="17">
        <f>F37*AE37</f>
        <v>0</v>
      </c>
      <c r="I37" s="17">
        <f>J37-H37</f>
        <v>0</v>
      </c>
      <c r="J37" s="17">
        <f>F37*G37</f>
        <v>0</v>
      </c>
      <c r="K37" s="17">
        <v>0</v>
      </c>
      <c r="L37" s="17">
        <f>F37*K37</f>
        <v>0</v>
      </c>
      <c r="M37" s="31" t="s">
        <v>281</v>
      </c>
      <c r="P37" s="34">
        <f>IF(AG37="5",J37,0)</f>
        <v>0</v>
      </c>
      <c r="R37" s="34">
        <f>IF(AG37="1",H37,0)</f>
        <v>0</v>
      </c>
      <c r="S37" s="34">
        <f>IF(AG37="1",I37,0)</f>
        <v>0</v>
      </c>
      <c r="T37" s="34">
        <f>IF(AG37="7",H37,0)</f>
        <v>0</v>
      </c>
      <c r="U37" s="34">
        <f>IF(AG37="7",I37,0)</f>
        <v>0</v>
      </c>
      <c r="V37" s="34">
        <f>IF(AG37="2",H37,0)</f>
        <v>0</v>
      </c>
      <c r="W37" s="34">
        <f>IF(AG37="2",I37,0)</f>
        <v>0</v>
      </c>
      <c r="X37" s="34">
        <f>IF(AG37="0",J37,0)</f>
        <v>0</v>
      </c>
      <c r="Y37" s="26"/>
      <c r="Z37" s="17">
        <f>IF(AD37=0,J37,0)</f>
        <v>0</v>
      </c>
      <c r="AA37" s="17">
        <f>IF(AD37=15,J37,0)</f>
        <v>0</v>
      </c>
      <c r="AB37" s="17">
        <f>IF(AD37=21,J37,0)</f>
        <v>0</v>
      </c>
      <c r="AD37" s="34">
        <v>21</v>
      </c>
      <c r="AE37" s="34">
        <f>G37*0</f>
        <v>0</v>
      </c>
      <c r="AF37" s="34">
        <f>G37*(1-0)</f>
        <v>0</v>
      </c>
      <c r="AG37" s="31" t="s">
        <v>13</v>
      </c>
      <c r="AM37" s="34">
        <f>F37*AE37</f>
        <v>0</v>
      </c>
      <c r="AN37" s="34">
        <f>F37*AF37</f>
        <v>0</v>
      </c>
      <c r="AO37" s="35" t="s">
        <v>218</v>
      </c>
      <c r="AP37" s="35" t="s">
        <v>230</v>
      </c>
      <c r="AQ37" s="26" t="s">
        <v>235</v>
      </c>
      <c r="AS37" s="34">
        <f>AM37+AN37</f>
        <v>0</v>
      </c>
      <c r="AT37" s="34">
        <f>G37/(100-AU37)*100</f>
        <v>0</v>
      </c>
      <c r="AU37" s="34">
        <v>0</v>
      </c>
      <c r="AV37" s="34">
        <f>L37</f>
        <v>0</v>
      </c>
    </row>
    <row r="38" spans="1:48" ht="12.75">
      <c r="A38" s="5" t="s">
        <v>26</v>
      </c>
      <c r="B38" s="5"/>
      <c r="C38" s="5" t="s">
        <v>81</v>
      </c>
      <c r="D38" s="5" t="s">
        <v>144</v>
      </c>
      <c r="E38" s="5" t="s">
        <v>184</v>
      </c>
      <c r="F38" s="17">
        <v>1</v>
      </c>
      <c r="G38" s="17">
        <v>0</v>
      </c>
      <c r="H38" s="17">
        <f>F38*AE38</f>
        <v>0</v>
      </c>
      <c r="I38" s="17">
        <f>J38-H38</f>
        <v>0</v>
      </c>
      <c r="J38" s="17">
        <f>F38*G38</f>
        <v>0</v>
      </c>
      <c r="K38" s="17">
        <v>0</v>
      </c>
      <c r="L38" s="17">
        <f>F38*K38</f>
        <v>0</v>
      </c>
      <c r="M38" s="31" t="s">
        <v>281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6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21</v>
      </c>
      <c r="AE38" s="34">
        <f>G38*0.183431495606836</f>
        <v>0</v>
      </c>
      <c r="AF38" s="34">
        <f>G38*(1-0.183431495606836)</f>
        <v>0</v>
      </c>
      <c r="AG38" s="31" t="s">
        <v>13</v>
      </c>
      <c r="AM38" s="34">
        <f>F38*AE38</f>
        <v>0</v>
      </c>
      <c r="AN38" s="34">
        <f>F38*AF38</f>
        <v>0</v>
      </c>
      <c r="AO38" s="35" t="s">
        <v>218</v>
      </c>
      <c r="AP38" s="35" t="s">
        <v>230</v>
      </c>
      <c r="AQ38" s="26" t="s">
        <v>235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0</v>
      </c>
    </row>
    <row r="39" spans="1:37" ht="12.75">
      <c r="A39" s="6"/>
      <c r="B39" s="14"/>
      <c r="C39" s="14" t="s">
        <v>82</v>
      </c>
      <c r="D39" s="14" t="s">
        <v>145</v>
      </c>
      <c r="E39" s="6" t="s">
        <v>6</v>
      </c>
      <c r="F39" s="6" t="s">
        <v>6</v>
      </c>
      <c r="G39" s="6" t="s">
        <v>6</v>
      </c>
      <c r="H39" s="37">
        <f>SUM(H40:H40)</f>
        <v>0</v>
      </c>
      <c r="I39" s="37">
        <f>SUM(I40:I40)</f>
        <v>0</v>
      </c>
      <c r="J39" s="37">
        <f>H39+I39</f>
        <v>0</v>
      </c>
      <c r="K39" s="26"/>
      <c r="L39" s="37">
        <f>SUM(L40:L40)</f>
        <v>0</v>
      </c>
      <c r="M39" s="26"/>
      <c r="Y39" s="26"/>
      <c r="AI39" s="37">
        <f>SUM(Z40:Z40)</f>
        <v>0</v>
      </c>
      <c r="AJ39" s="37">
        <f>SUM(AA40:AA40)</f>
        <v>0</v>
      </c>
      <c r="AK39" s="37">
        <f>SUM(AB40:AB40)</f>
        <v>0</v>
      </c>
    </row>
    <row r="40" spans="1:48" ht="12.75">
      <c r="A40" s="5" t="s">
        <v>27</v>
      </c>
      <c r="B40" s="5"/>
      <c r="C40" s="5" t="s">
        <v>83</v>
      </c>
      <c r="D40" s="5" t="s">
        <v>146</v>
      </c>
      <c r="E40" s="5" t="s">
        <v>180</v>
      </c>
      <c r="F40" s="17">
        <v>5</v>
      </c>
      <c r="G40" s="17">
        <v>0</v>
      </c>
      <c r="H40" s="17">
        <f>F40*AE40</f>
        <v>0</v>
      </c>
      <c r="I40" s="17">
        <f>J40-H40</f>
        <v>0</v>
      </c>
      <c r="J40" s="17">
        <f>F40*G40</f>
        <v>0</v>
      </c>
      <c r="K40" s="17">
        <v>0</v>
      </c>
      <c r="L40" s="17">
        <f>F40*K40</f>
        <v>0</v>
      </c>
      <c r="M40" s="31" t="s">
        <v>281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</f>
        <v>0</v>
      </c>
      <c r="AF40" s="34">
        <f>G40*(1-0)</f>
        <v>0</v>
      </c>
      <c r="AG40" s="31" t="s">
        <v>13</v>
      </c>
      <c r="AM40" s="34">
        <f>F40*AE40</f>
        <v>0</v>
      </c>
      <c r="AN40" s="34">
        <f>F40*AF40</f>
        <v>0</v>
      </c>
      <c r="AO40" s="35" t="s">
        <v>219</v>
      </c>
      <c r="AP40" s="35" t="s">
        <v>230</v>
      </c>
      <c r="AQ40" s="26" t="s">
        <v>235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0</v>
      </c>
    </row>
    <row r="41" spans="1:37" ht="12.75">
      <c r="A41" s="6"/>
      <c r="B41" s="14"/>
      <c r="C41" s="14" t="s">
        <v>84</v>
      </c>
      <c r="D41" s="14" t="s">
        <v>147</v>
      </c>
      <c r="E41" s="6" t="s">
        <v>6</v>
      </c>
      <c r="F41" s="6" t="s">
        <v>6</v>
      </c>
      <c r="G41" s="6" t="s">
        <v>6</v>
      </c>
      <c r="H41" s="37">
        <f>SUM(H42:H44)</f>
        <v>0</v>
      </c>
      <c r="I41" s="37">
        <f>SUM(I42:I44)</f>
        <v>0</v>
      </c>
      <c r="J41" s="37">
        <f>H41+I41</f>
        <v>0</v>
      </c>
      <c r="K41" s="26"/>
      <c r="L41" s="37">
        <f>SUM(L42:L44)</f>
        <v>0.057999999999999996</v>
      </c>
      <c r="M41" s="26"/>
      <c r="Y41" s="26"/>
      <c r="AI41" s="37">
        <f>SUM(Z42:Z44)</f>
        <v>0</v>
      </c>
      <c r="AJ41" s="37">
        <f>SUM(AA42:AA44)</f>
        <v>0</v>
      </c>
      <c r="AK41" s="37">
        <f>SUM(AB42:AB44)</f>
        <v>0</v>
      </c>
    </row>
    <row r="42" spans="1:48" ht="12.75">
      <c r="A42" s="5" t="s">
        <v>28</v>
      </c>
      <c r="B42" s="5"/>
      <c r="C42" s="5" t="s">
        <v>85</v>
      </c>
      <c r="D42" s="5" t="s">
        <v>148</v>
      </c>
      <c r="E42" s="5" t="s">
        <v>183</v>
      </c>
      <c r="F42" s="17">
        <v>3</v>
      </c>
      <c r="G42" s="17">
        <v>0</v>
      </c>
      <c r="H42" s="17">
        <f>F42*AE42</f>
        <v>0</v>
      </c>
      <c r="I42" s="17">
        <f>J42-H42</f>
        <v>0</v>
      </c>
      <c r="J42" s="17">
        <f>F42*G42</f>
        <v>0</v>
      </c>
      <c r="K42" s="17">
        <v>0</v>
      </c>
      <c r="L42" s="17">
        <f>F42*K42</f>
        <v>0</v>
      </c>
      <c r="M42" s="31" t="s">
        <v>281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21</v>
      </c>
      <c r="AE42" s="34">
        <f>G42*0</f>
        <v>0</v>
      </c>
      <c r="AF42" s="34">
        <f>G42*(1-0)</f>
        <v>0</v>
      </c>
      <c r="AG42" s="31" t="s">
        <v>13</v>
      </c>
      <c r="AM42" s="34">
        <f>F42*AE42</f>
        <v>0</v>
      </c>
      <c r="AN42" s="34">
        <f>F42*AF42</f>
        <v>0</v>
      </c>
      <c r="AO42" s="35" t="s">
        <v>220</v>
      </c>
      <c r="AP42" s="35" t="s">
        <v>231</v>
      </c>
      <c r="AQ42" s="26" t="s">
        <v>235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0</v>
      </c>
    </row>
    <row r="43" spans="1:48" ht="12.75">
      <c r="A43" s="7" t="s">
        <v>29</v>
      </c>
      <c r="B43" s="7"/>
      <c r="C43" s="7" t="s">
        <v>86</v>
      </c>
      <c r="D43" s="7" t="s">
        <v>149</v>
      </c>
      <c r="E43" s="7" t="s">
        <v>183</v>
      </c>
      <c r="F43" s="18">
        <v>1</v>
      </c>
      <c r="G43" s="18">
        <v>0</v>
      </c>
      <c r="H43" s="18">
        <f>F43*AE43</f>
        <v>0</v>
      </c>
      <c r="I43" s="18">
        <f>J43-H43</f>
        <v>0</v>
      </c>
      <c r="J43" s="18">
        <f>F43*G43</f>
        <v>0</v>
      </c>
      <c r="K43" s="18">
        <v>0.018</v>
      </c>
      <c r="L43" s="18">
        <f>F43*K43</f>
        <v>0.018</v>
      </c>
      <c r="M43" s="55" t="s">
        <v>281</v>
      </c>
      <c r="P43" s="34">
        <f>IF(AG43="5",J43,0)</f>
        <v>0</v>
      </c>
      <c r="R43" s="34">
        <f>IF(AG43="1",H43,0)</f>
        <v>0</v>
      </c>
      <c r="S43" s="34">
        <f>IF(AG43="1",I43,0)</f>
        <v>0</v>
      </c>
      <c r="T43" s="34">
        <f>IF(AG43="7",H43,0)</f>
        <v>0</v>
      </c>
      <c r="U43" s="34">
        <f>IF(AG43="7",I43,0)</f>
        <v>0</v>
      </c>
      <c r="V43" s="34">
        <f>IF(AG43="2",H43,0)</f>
        <v>0</v>
      </c>
      <c r="W43" s="34">
        <f>IF(AG43="2",I43,0)</f>
        <v>0</v>
      </c>
      <c r="X43" s="34">
        <f>IF(AG43="0",J43,0)</f>
        <v>0</v>
      </c>
      <c r="Y43" s="26"/>
      <c r="Z43" s="18">
        <f>IF(AD43=0,J43,0)</f>
        <v>0</v>
      </c>
      <c r="AA43" s="18">
        <f>IF(AD43=15,J43,0)</f>
        <v>0</v>
      </c>
      <c r="AB43" s="18">
        <f>IF(AD43=21,J43,0)</f>
        <v>0</v>
      </c>
      <c r="AD43" s="34">
        <v>21</v>
      </c>
      <c r="AE43" s="34">
        <f>G43*1</f>
        <v>0</v>
      </c>
      <c r="AF43" s="34">
        <f>G43*(1-1)</f>
        <v>0</v>
      </c>
      <c r="AG43" s="32" t="s">
        <v>13</v>
      </c>
      <c r="AM43" s="34">
        <f>F43*AE43</f>
        <v>0</v>
      </c>
      <c r="AN43" s="34">
        <f>F43*AF43</f>
        <v>0</v>
      </c>
      <c r="AO43" s="35" t="s">
        <v>220</v>
      </c>
      <c r="AP43" s="35" t="s">
        <v>231</v>
      </c>
      <c r="AQ43" s="26" t="s">
        <v>235</v>
      </c>
      <c r="AS43" s="34">
        <f>AM43+AN43</f>
        <v>0</v>
      </c>
      <c r="AT43" s="34">
        <f>G43/(100-AU43)*100</f>
        <v>0</v>
      </c>
      <c r="AU43" s="34">
        <v>0</v>
      </c>
      <c r="AV43" s="34">
        <f>L43</f>
        <v>0.018</v>
      </c>
    </row>
    <row r="44" spans="1:48" ht="12.75">
      <c r="A44" s="7" t="s">
        <v>30</v>
      </c>
      <c r="B44" s="7"/>
      <c r="C44" s="7" t="s">
        <v>87</v>
      </c>
      <c r="D44" s="7" t="s">
        <v>150</v>
      </c>
      <c r="E44" s="7" t="s">
        <v>183</v>
      </c>
      <c r="F44" s="18">
        <v>2</v>
      </c>
      <c r="G44" s="18">
        <v>0</v>
      </c>
      <c r="H44" s="18">
        <f>F44*AE44</f>
        <v>0</v>
      </c>
      <c r="I44" s="18">
        <f>J44-H44</f>
        <v>0</v>
      </c>
      <c r="J44" s="18">
        <f>F44*G44</f>
        <v>0</v>
      </c>
      <c r="K44" s="18">
        <v>0.02</v>
      </c>
      <c r="L44" s="18">
        <f>F44*K44</f>
        <v>0.04</v>
      </c>
      <c r="M44" s="55" t="s">
        <v>281</v>
      </c>
      <c r="P44" s="34">
        <f>IF(AG44="5",J44,0)</f>
        <v>0</v>
      </c>
      <c r="R44" s="34">
        <f>IF(AG44="1",H44,0)</f>
        <v>0</v>
      </c>
      <c r="S44" s="34">
        <f>IF(AG44="1",I44,0)</f>
        <v>0</v>
      </c>
      <c r="T44" s="34">
        <f>IF(AG44="7",H44,0)</f>
        <v>0</v>
      </c>
      <c r="U44" s="34">
        <f>IF(AG44="7",I44,0)</f>
        <v>0</v>
      </c>
      <c r="V44" s="34">
        <f>IF(AG44="2",H44,0)</f>
        <v>0</v>
      </c>
      <c r="W44" s="34">
        <f>IF(AG44="2",I44,0)</f>
        <v>0</v>
      </c>
      <c r="X44" s="34">
        <f>IF(AG44="0",J44,0)</f>
        <v>0</v>
      </c>
      <c r="Y44" s="26"/>
      <c r="Z44" s="18">
        <f>IF(AD44=0,J44,0)</f>
        <v>0</v>
      </c>
      <c r="AA44" s="18">
        <f>IF(AD44=15,J44,0)</f>
        <v>0</v>
      </c>
      <c r="AB44" s="18">
        <f>IF(AD44=21,J44,0)</f>
        <v>0</v>
      </c>
      <c r="AD44" s="34">
        <v>21</v>
      </c>
      <c r="AE44" s="34">
        <f>G44*1</f>
        <v>0</v>
      </c>
      <c r="AF44" s="34">
        <f>G44*(1-1)</f>
        <v>0</v>
      </c>
      <c r="AG44" s="32" t="s">
        <v>13</v>
      </c>
      <c r="AM44" s="34">
        <f>F44*AE44</f>
        <v>0</v>
      </c>
      <c r="AN44" s="34">
        <f>F44*AF44</f>
        <v>0</v>
      </c>
      <c r="AO44" s="35" t="s">
        <v>220</v>
      </c>
      <c r="AP44" s="35" t="s">
        <v>231</v>
      </c>
      <c r="AQ44" s="26" t="s">
        <v>235</v>
      </c>
      <c r="AS44" s="34">
        <f>AM44+AN44</f>
        <v>0</v>
      </c>
      <c r="AT44" s="34">
        <f>G44/(100-AU44)*100</f>
        <v>0</v>
      </c>
      <c r="AU44" s="34">
        <v>0</v>
      </c>
      <c r="AV44" s="34">
        <f>L44</f>
        <v>0.04</v>
      </c>
    </row>
    <row r="45" spans="1:37" ht="12.75">
      <c r="A45" s="6"/>
      <c r="B45" s="14"/>
      <c r="C45" s="14" t="s">
        <v>88</v>
      </c>
      <c r="D45" s="14" t="s">
        <v>151</v>
      </c>
      <c r="E45" s="6" t="s">
        <v>6</v>
      </c>
      <c r="F45" s="6" t="s">
        <v>6</v>
      </c>
      <c r="G45" s="6" t="s">
        <v>6</v>
      </c>
      <c r="H45" s="37">
        <f>SUM(H46:H55)</f>
        <v>0</v>
      </c>
      <c r="I45" s="37">
        <f>SUM(I46:I55)</f>
        <v>0</v>
      </c>
      <c r="J45" s="37">
        <f>H45+I45</f>
        <v>0</v>
      </c>
      <c r="K45" s="26"/>
      <c r="L45" s="37">
        <f>SUM(L46:L55)</f>
        <v>1.9668244000000001</v>
      </c>
      <c r="M45" s="26"/>
      <c r="Y45" s="26"/>
      <c r="AI45" s="37">
        <f>SUM(Z46:Z55)</f>
        <v>0</v>
      </c>
      <c r="AJ45" s="37">
        <f>SUM(AA46:AA55)</f>
        <v>0</v>
      </c>
      <c r="AK45" s="37">
        <f>SUM(AB46:AB55)</f>
        <v>0</v>
      </c>
    </row>
    <row r="46" spans="1:48" ht="12.75">
      <c r="A46" s="5" t="s">
        <v>31</v>
      </c>
      <c r="B46" s="5"/>
      <c r="C46" s="5" t="s">
        <v>89</v>
      </c>
      <c r="D46" s="5" t="s">
        <v>152</v>
      </c>
      <c r="E46" s="5" t="s">
        <v>179</v>
      </c>
      <c r="F46" s="17">
        <v>51.82</v>
      </c>
      <c r="G46" s="17">
        <v>0</v>
      </c>
      <c r="H46" s="17">
        <f aca="true" t="shared" si="20" ref="H46:H55">F46*AE46</f>
        <v>0</v>
      </c>
      <c r="I46" s="17">
        <f aca="true" t="shared" si="21" ref="I46:I55">J46-H46</f>
        <v>0</v>
      </c>
      <c r="J46" s="17">
        <f aca="true" t="shared" si="22" ref="J46:J55">F46*G46</f>
        <v>0</v>
      </c>
      <c r="K46" s="17">
        <v>0.00021</v>
      </c>
      <c r="L46" s="17">
        <f aca="true" t="shared" si="23" ref="L46:L55">F46*K46</f>
        <v>0.0108822</v>
      </c>
      <c r="M46" s="31" t="s">
        <v>281</v>
      </c>
      <c r="P46" s="34">
        <f aca="true" t="shared" si="24" ref="P46:P55">IF(AG46="5",J46,0)</f>
        <v>0</v>
      </c>
      <c r="R46" s="34">
        <f aca="true" t="shared" si="25" ref="R46:R55">IF(AG46="1",H46,0)</f>
        <v>0</v>
      </c>
      <c r="S46" s="34">
        <f aca="true" t="shared" si="26" ref="S46:S55">IF(AG46="1",I46,0)</f>
        <v>0</v>
      </c>
      <c r="T46" s="34">
        <f aca="true" t="shared" si="27" ref="T46:T55">IF(AG46="7",H46,0)</f>
        <v>0</v>
      </c>
      <c r="U46" s="34">
        <f aca="true" t="shared" si="28" ref="U46:U55">IF(AG46="7",I46,0)</f>
        <v>0</v>
      </c>
      <c r="V46" s="34">
        <f aca="true" t="shared" si="29" ref="V46:V55">IF(AG46="2",H46,0)</f>
        <v>0</v>
      </c>
      <c r="W46" s="34">
        <f aca="true" t="shared" si="30" ref="W46:W55">IF(AG46="2",I46,0)</f>
        <v>0</v>
      </c>
      <c r="X46" s="34">
        <f aca="true" t="shared" si="31" ref="X46:X55">IF(AG46="0",J46,0)</f>
        <v>0</v>
      </c>
      <c r="Y46" s="26"/>
      <c r="Z46" s="17">
        <f aca="true" t="shared" si="32" ref="Z46:Z55">IF(AD46=0,J46,0)</f>
        <v>0</v>
      </c>
      <c r="AA46" s="17">
        <f aca="true" t="shared" si="33" ref="AA46:AA55">IF(AD46=15,J46,0)</f>
        <v>0</v>
      </c>
      <c r="AB46" s="17">
        <f aca="true" t="shared" si="34" ref="AB46:AB55">IF(AD46=21,J46,0)</f>
        <v>0</v>
      </c>
      <c r="AD46" s="34">
        <v>21</v>
      </c>
      <c r="AE46" s="34">
        <f>G46*0.503920407995394</f>
        <v>0</v>
      </c>
      <c r="AF46" s="34">
        <f>G46*(1-0.503920407995394)</f>
        <v>0</v>
      </c>
      <c r="AG46" s="31" t="s">
        <v>13</v>
      </c>
      <c r="AM46" s="34">
        <f aca="true" t="shared" si="35" ref="AM46:AM55">F46*AE46</f>
        <v>0</v>
      </c>
      <c r="AN46" s="34">
        <f aca="true" t="shared" si="36" ref="AN46:AN55">F46*AF46</f>
        <v>0</v>
      </c>
      <c r="AO46" s="35" t="s">
        <v>221</v>
      </c>
      <c r="AP46" s="35" t="s">
        <v>232</v>
      </c>
      <c r="AQ46" s="26" t="s">
        <v>235</v>
      </c>
      <c r="AS46" s="34">
        <f aca="true" t="shared" si="37" ref="AS46:AS55">AM46+AN46</f>
        <v>0</v>
      </c>
      <c r="AT46" s="34">
        <f aca="true" t="shared" si="38" ref="AT46:AT55">G46/(100-AU46)*100</f>
        <v>0</v>
      </c>
      <c r="AU46" s="34">
        <v>0</v>
      </c>
      <c r="AV46" s="34">
        <f aca="true" t="shared" si="39" ref="AV46:AV55">L46</f>
        <v>0.0108822</v>
      </c>
    </row>
    <row r="47" spans="1:48" ht="12.75">
      <c r="A47" s="5" t="s">
        <v>32</v>
      </c>
      <c r="B47" s="5"/>
      <c r="C47" s="5" t="s">
        <v>90</v>
      </c>
      <c r="D47" s="5" t="s">
        <v>153</v>
      </c>
      <c r="E47" s="5" t="s">
        <v>179</v>
      </c>
      <c r="F47" s="17">
        <v>51.82</v>
      </c>
      <c r="G47" s="17">
        <v>0</v>
      </c>
      <c r="H47" s="17">
        <f t="shared" si="20"/>
        <v>0</v>
      </c>
      <c r="I47" s="17">
        <f t="shared" si="21"/>
        <v>0</v>
      </c>
      <c r="J47" s="17">
        <f t="shared" si="22"/>
        <v>0</v>
      </c>
      <c r="K47" s="17">
        <v>0</v>
      </c>
      <c r="L47" s="17">
        <f t="shared" si="23"/>
        <v>0</v>
      </c>
      <c r="M47" s="31" t="s">
        <v>281</v>
      </c>
      <c r="P47" s="34">
        <f t="shared" si="24"/>
        <v>0</v>
      </c>
      <c r="R47" s="34">
        <f t="shared" si="25"/>
        <v>0</v>
      </c>
      <c r="S47" s="34">
        <f t="shared" si="26"/>
        <v>0</v>
      </c>
      <c r="T47" s="34">
        <f t="shared" si="27"/>
        <v>0</v>
      </c>
      <c r="U47" s="34">
        <f t="shared" si="28"/>
        <v>0</v>
      </c>
      <c r="V47" s="34">
        <f t="shared" si="29"/>
        <v>0</v>
      </c>
      <c r="W47" s="34">
        <f t="shared" si="30"/>
        <v>0</v>
      </c>
      <c r="X47" s="34">
        <f t="shared" si="31"/>
        <v>0</v>
      </c>
      <c r="Y47" s="26"/>
      <c r="Z47" s="17">
        <f t="shared" si="32"/>
        <v>0</v>
      </c>
      <c r="AA47" s="17">
        <f t="shared" si="33"/>
        <v>0</v>
      </c>
      <c r="AB47" s="17">
        <f t="shared" si="34"/>
        <v>0</v>
      </c>
      <c r="AD47" s="34">
        <v>21</v>
      </c>
      <c r="AE47" s="34">
        <f>G47*0</f>
        <v>0</v>
      </c>
      <c r="AF47" s="34">
        <f>G47*(1-0)</f>
        <v>0</v>
      </c>
      <c r="AG47" s="31" t="s">
        <v>13</v>
      </c>
      <c r="AM47" s="34">
        <f t="shared" si="35"/>
        <v>0</v>
      </c>
      <c r="AN47" s="34">
        <f t="shared" si="36"/>
        <v>0</v>
      </c>
      <c r="AO47" s="35" t="s">
        <v>221</v>
      </c>
      <c r="AP47" s="35" t="s">
        <v>232</v>
      </c>
      <c r="AQ47" s="26" t="s">
        <v>235</v>
      </c>
      <c r="AS47" s="34">
        <f t="shared" si="37"/>
        <v>0</v>
      </c>
      <c r="AT47" s="34">
        <f t="shared" si="38"/>
        <v>0</v>
      </c>
      <c r="AU47" s="34">
        <v>0</v>
      </c>
      <c r="AV47" s="34">
        <f t="shared" si="39"/>
        <v>0</v>
      </c>
    </row>
    <row r="48" spans="1:48" ht="12.75">
      <c r="A48" s="7" t="s">
        <v>33</v>
      </c>
      <c r="B48" s="7"/>
      <c r="C48" s="7" t="s">
        <v>91</v>
      </c>
      <c r="D48" s="7" t="s">
        <v>154</v>
      </c>
      <c r="E48" s="7" t="s">
        <v>185</v>
      </c>
      <c r="F48" s="18">
        <v>480</v>
      </c>
      <c r="G48" s="18">
        <v>0</v>
      </c>
      <c r="H48" s="18">
        <f t="shared" si="20"/>
        <v>0</v>
      </c>
      <c r="I48" s="18">
        <f t="shared" si="21"/>
        <v>0</v>
      </c>
      <c r="J48" s="18">
        <f t="shared" si="22"/>
        <v>0</v>
      </c>
      <c r="K48" s="18">
        <v>0.001</v>
      </c>
      <c r="L48" s="18">
        <f t="shared" si="23"/>
        <v>0.48</v>
      </c>
      <c r="M48" s="55" t="s">
        <v>281</v>
      </c>
      <c r="P48" s="34">
        <f t="shared" si="24"/>
        <v>0</v>
      </c>
      <c r="R48" s="34">
        <f t="shared" si="25"/>
        <v>0</v>
      </c>
      <c r="S48" s="34">
        <f t="shared" si="26"/>
        <v>0</v>
      </c>
      <c r="T48" s="34">
        <f t="shared" si="27"/>
        <v>0</v>
      </c>
      <c r="U48" s="34">
        <f t="shared" si="28"/>
        <v>0</v>
      </c>
      <c r="V48" s="34">
        <f t="shared" si="29"/>
        <v>0</v>
      </c>
      <c r="W48" s="34">
        <f t="shared" si="30"/>
        <v>0</v>
      </c>
      <c r="X48" s="34">
        <f t="shared" si="31"/>
        <v>0</v>
      </c>
      <c r="Y48" s="26"/>
      <c r="Z48" s="18">
        <f t="shared" si="32"/>
        <v>0</v>
      </c>
      <c r="AA48" s="18">
        <f t="shared" si="33"/>
        <v>0</v>
      </c>
      <c r="AB48" s="18">
        <f t="shared" si="34"/>
        <v>0</v>
      </c>
      <c r="AD48" s="34">
        <v>21</v>
      </c>
      <c r="AE48" s="34">
        <f>G48*1</f>
        <v>0</v>
      </c>
      <c r="AF48" s="34">
        <f>G48*(1-1)</f>
        <v>0</v>
      </c>
      <c r="AG48" s="32" t="s">
        <v>13</v>
      </c>
      <c r="AM48" s="34">
        <f t="shared" si="35"/>
        <v>0</v>
      </c>
      <c r="AN48" s="34">
        <f t="shared" si="36"/>
        <v>0</v>
      </c>
      <c r="AO48" s="35" t="s">
        <v>221</v>
      </c>
      <c r="AP48" s="35" t="s">
        <v>232</v>
      </c>
      <c r="AQ48" s="26" t="s">
        <v>235</v>
      </c>
      <c r="AS48" s="34">
        <f t="shared" si="37"/>
        <v>0</v>
      </c>
      <c r="AT48" s="34">
        <f t="shared" si="38"/>
        <v>0</v>
      </c>
      <c r="AU48" s="34">
        <v>0</v>
      </c>
      <c r="AV48" s="34">
        <f t="shared" si="39"/>
        <v>0.48</v>
      </c>
    </row>
    <row r="49" spans="1:48" ht="12.75">
      <c r="A49" s="5" t="s">
        <v>34</v>
      </c>
      <c r="B49" s="5"/>
      <c r="C49" s="5" t="s">
        <v>92</v>
      </c>
      <c r="D49" s="5" t="s">
        <v>155</v>
      </c>
      <c r="E49" s="5" t="s">
        <v>179</v>
      </c>
      <c r="F49" s="17">
        <v>51.82</v>
      </c>
      <c r="G49" s="17">
        <v>0</v>
      </c>
      <c r="H49" s="17">
        <f t="shared" si="20"/>
        <v>0</v>
      </c>
      <c r="I49" s="17">
        <f t="shared" si="21"/>
        <v>0</v>
      </c>
      <c r="J49" s="17">
        <f t="shared" si="22"/>
        <v>0</v>
      </c>
      <c r="K49" s="17">
        <v>0.00011</v>
      </c>
      <c r="L49" s="17">
        <f t="shared" si="23"/>
        <v>0.0057002</v>
      </c>
      <c r="M49" s="31" t="s">
        <v>281</v>
      </c>
      <c r="P49" s="34">
        <f t="shared" si="24"/>
        <v>0</v>
      </c>
      <c r="R49" s="34">
        <f t="shared" si="25"/>
        <v>0</v>
      </c>
      <c r="S49" s="34">
        <f t="shared" si="26"/>
        <v>0</v>
      </c>
      <c r="T49" s="34">
        <f t="shared" si="27"/>
        <v>0</v>
      </c>
      <c r="U49" s="34">
        <f t="shared" si="28"/>
        <v>0</v>
      </c>
      <c r="V49" s="34">
        <f t="shared" si="29"/>
        <v>0</v>
      </c>
      <c r="W49" s="34">
        <f t="shared" si="30"/>
        <v>0</v>
      </c>
      <c r="X49" s="34">
        <f t="shared" si="31"/>
        <v>0</v>
      </c>
      <c r="Y49" s="26"/>
      <c r="Z49" s="17">
        <f t="shared" si="32"/>
        <v>0</v>
      </c>
      <c r="AA49" s="17">
        <f t="shared" si="33"/>
        <v>0</v>
      </c>
      <c r="AB49" s="17">
        <f t="shared" si="34"/>
        <v>0</v>
      </c>
      <c r="AD49" s="34">
        <v>21</v>
      </c>
      <c r="AE49" s="34">
        <f>G49*0.338570595009597</f>
        <v>0</v>
      </c>
      <c r="AF49" s="34">
        <f>G49*(1-0.338570595009597)</f>
        <v>0</v>
      </c>
      <c r="AG49" s="31" t="s">
        <v>13</v>
      </c>
      <c r="AM49" s="34">
        <f t="shared" si="35"/>
        <v>0</v>
      </c>
      <c r="AN49" s="34">
        <f t="shared" si="36"/>
        <v>0</v>
      </c>
      <c r="AO49" s="35" t="s">
        <v>221</v>
      </c>
      <c r="AP49" s="35" t="s">
        <v>232</v>
      </c>
      <c r="AQ49" s="26" t="s">
        <v>235</v>
      </c>
      <c r="AS49" s="34">
        <f t="shared" si="37"/>
        <v>0</v>
      </c>
      <c r="AT49" s="34">
        <f t="shared" si="38"/>
        <v>0</v>
      </c>
      <c r="AU49" s="34">
        <v>0</v>
      </c>
      <c r="AV49" s="34">
        <f t="shared" si="39"/>
        <v>0.0057002</v>
      </c>
    </row>
    <row r="50" spans="1:48" ht="12.75">
      <c r="A50" s="5" t="s">
        <v>35</v>
      </c>
      <c r="B50" s="5"/>
      <c r="C50" s="5" t="s">
        <v>93</v>
      </c>
      <c r="D50" s="5" t="s">
        <v>156</v>
      </c>
      <c r="E50" s="5" t="s">
        <v>179</v>
      </c>
      <c r="F50" s="17">
        <v>51.82</v>
      </c>
      <c r="G50" s="17">
        <v>0</v>
      </c>
      <c r="H50" s="17">
        <f t="shared" si="20"/>
        <v>0</v>
      </c>
      <c r="I50" s="17">
        <f t="shared" si="21"/>
        <v>0</v>
      </c>
      <c r="J50" s="17">
        <f t="shared" si="22"/>
        <v>0</v>
      </c>
      <c r="K50" s="17">
        <v>0.00504</v>
      </c>
      <c r="L50" s="17">
        <f t="shared" si="23"/>
        <v>0.26117280000000004</v>
      </c>
      <c r="M50" s="31" t="s">
        <v>281</v>
      </c>
      <c r="P50" s="34">
        <f t="shared" si="24"/>
        <v>0</v>
      </c>
      <c r="R50" s="34">
        <f t="shared" si="25"/>
        <v>0</v>
      </c>
      <c r="S50" s="34">
        <f t="shared" si="26"/>
        <v>0</v>
      </c>
      <c r="T50" s="34">
        <f t="shared" si="27"/>
        <v>0</v>
      </c>
      <c r="U50" s="34">
        <f t="shared" si="28"/>
        <v>0</v>
      </c>
      <c r="V50" s="34">
        <f t="shared" si="29"/>
        <v>0</v>
      </c>
      <c r="W50" s="34">
        <f t="shared" si="30"/>
        <v>0</v>
      </c>
      <c r="X50" s="34">
        <f t="shared" si="31"/>
        <v>0</v>
      </c>
      <c r="Y50" s="26"/>
      <c r="Z50" s="17">
        <f t="shared" si="32"/>
        <v>0</v>
      </c>
      <c r="AA50" s="17">
        <f t="shared" si="33"/>
        <v>0</v>
      </c>
      <c r="AB50" s="17">
        <f t="shared" si="34"/>
        <v>0</v>
      </c>
      <c r="AD50" s="34">
        <v>21</v>
      </c>
      <c r="AE50" s="34">
        <f>G50*0.185127279224905</f>
        <v>0</v>
      </c>
      <c r="AF50" s="34">
        <f>G50*(1-0.185127279224905)</f>
        <v>0</v>
      </c>
      <c r="AG50" s="31" t="s">
        <v>13</v>
      </c>
      <c r="AM50" s="34">
        <f t="shared" si="35"/>
        <v>0</v>
      </c>
      <c r="AN50" s="34">
        <f t="shared" si="36"/>
        <v>0</v>
      </c>
      <c r="AO50" s="35" t="s">
        <v>221</v>
      </c>
      <c r="AP50" s="35" t="s">
        <v>232</v>
      </c>
      <c r="AQ50" s="26" t="s">
        <v>235</v>
      </c>
      <c r="AS50" s="34">
        <f t="shared" si="37"/>
        <v>0</v>
      </c>
      <c r="AT50" s="34">
        <f t="shared" si="38"/>
        <v>0</v>
      </c>
      <c r="AU50" s="34">
        <v>0</v>
      </c>
      <c r="AV50" s="34">
        <f t="shared" si="39"/>
        <v>0.26117280000000004</v>
      </c>
    </row>
    <row r="51" spans="1:48" ht="12.75">
      <c r="A51" s="7" t="s">
        <v>36</v>
      </c>
      <c r="B51" s="7"/>
      <c r="C51" s="7" t="s">
        <v>94</v>
      </c>
      <c r="D51" s="107" t="s">
        <v>284</v>
      </c>
      <c r="E51" s="7" t="s">
        <v>179</v>
      </c>
      <c r="F51" s="18">
        <v>57</v>
      </c>
      <c r="G51" s="18">
        <v>0</v>
      </c>
      <c r="H51" s="18">
        <f t="shared" si="20"/>
        <v>0</v>
      </c>
      <c r="I51" s="18">
        <f t="shared" si="21"/>
        <v>0</v>
      </c>
      <c r="J51" s="18">
        <f t="shared" si="22"/>
        <v>0</v>
      </c>
      <c r="K51" s="18">
        <v>0.018</v>
      </c>
      <c r="L51" s="18">
        <f t="shared" si="23"/>
        <v>1.026</v>
      </c>
      <c r="M51" s="55" t="s">
        <v>281</v>
      </c>
      <c r="P51" s="34">
        <f t="shared" si="24"/>
        <v>0</v>
      </c>
      <c r="R51" s="34">
        <f t="shared" si="25"/>
        <v>0</v>
      </c>
      <c r="S51" s="34">
        <f t="shared" si="26"/>
        <v>0</v>
      </c>
      <c r="T51" s="34">
        <f t="shared" si="27"/>
        <v>0</v>
      </c>
      <c r="U51" s="34">
        <f t="shared" si="28"/>
        <v>0</v>
      </c>
      <c r="V51" s="34">
        <f t="shared" si="29"/>
        <v>0</v>
      </c>
      <c r="W51" s="34">
        <f t="shared" si="30"/>
        <v>0</v>
      </c>
      <c r="X51" s="34">
        <f t="shared" si="31"/>
        <v>0</v>
      </c>
      <c r="Y51" s="26"/>
      <c r="Z51" s="18">
        <f t="shared" si="32"/>
        <v>0</v>
      </c>
      <c r="AA51" s="18">
        <f t="shared" si="33"/>
        <v>0</v>
      </c>
      <c r="AB51" s="18">
        <f t="shared" si="34"/>
        <v>0</v>
      </c>
      <c r="AD51" s="34">
        <v>21</v>
      </c>
      <c r="AE51" s="34">
        <f>G51*1</f>
        <v>0</v>
      </c>
      <c r="AF51" s="34">
        <f>G51*(1-1)</f>
        <v>0</v>
      </c>
      <c r="AG51" s="32" t="s">
        <v>13</v>
      </c>
      <c r="AM51" s="34">
        <f t="shared" si="35"/>
        <v>0</v>
      </c>
      <c r="AN51" s="34">
        <f t="shared" si="36"/>
        <v>0</v>
      </c>
      <c r="AO51" s="35" t="s">
        <v>221</v>
      </c>
      <c r="AP51" s="35" t="s">
        <v>232</v>
      </c>
      <c r="AQ51" s="26" t="s">
        <v>235</v>
      </c>
      <c r="AS51" s="34">
        <f t="shared" si="37"/>
        <v>0</v>
      </c>
      <c r="AT51" s="34">
        <f t="shared" si="38"/>
        <v>0</v>
      </c>
      <c r="AU51" s="34">
        <v>0</v>
      </c>
      <c r="AV51" s="34">
        <f t="shared" si="39"/>
        <v>1.026</v>
      </c>
    </row>
    <row r="52" spans="1:48" ht="12.75">
      <c r="A52" s="5" t="s">
        <v>37</v>
      </c>
      <c r="B52" s="5"/>
      <c r="C52" s="5" t="s">
        <v>95</v>
      </c>
      <c r="D52" s="108" t="s">
        <v>285</v>
      </c>
      <c r="E52" s="5" t="s">
        <v>179</v>
      </c>
      <c r="F52" s="17">
        <v>51.82</v>
      </c>
      <c r="G52" s="17">
        <v>0</v>
      </c>
      <c r="H52" s="17">
        <f t="shared" si="20"/>
        <v>0</v>
      </c>
      <c r="I52" s="17">
        <f t="shared" si="21"/>
        <v>0</v>
      </c>
      <c r="J52" s="17">
        <f t="shared" si="22"/>
        <v>0</v>
      </c>
      <c r="K52" s="17">
        <v>0.0008</v>
      </c>
      <c r="L52" s="17">
        <f t="shared" si="23"/>
        <v>0.041456</v>
      </c>
      <c r="M52" s="31" t="s">
        <v>281</v>
      </c>
      <c r="P52" s="34">
        <f t="shared" si="24"/>
        <v>0</v>
      </c>
      <c r="R52" s="34">
        <f t="shared" si="25"/>
        <v>0</v>
      </c>
      <c r="S52" s="34">
        <f t="shared" si="26"/>
        <v>0</v>
      </c>
      <c r="T52" s="34">
        <f t="shared" si="27"/>
        <v>0</v>
      </c>
      <c r="U52" s="34">
        <f t="shared" si="28"/>
        <v>0</v>
      </c>
      <c r="V52" s="34">
        <f t="shared" si="29"/>
        <v>0</v>
      </c>
      <c r="W52" s="34">
        <f t="shared" si="30"/>
        <v>0</v>
      </c>
      <c r="X52" s="34">
        <f t="shared" si="31"/>
        <v>0</v>
      </c>
      <c r="Y52" s="26"/>
      <c r="Z52" s="17">
        <f t="shared" si="32"/>
        <v>0</v>
      </c>
      <c r="AA52" s="17">
        <f t="shared" si="33"/>
        <v>0</v>
      </c>
      <c r="AB52" s="17">
        <f t="shared" si="34"/>
        <v>0</v>
      </c>
      <c r="AD52" s="34">
        <v>21</v>
      </c>
      <c r="AE52" s="34">
        <f>G52*1.0000350877193</f>
        <v>0</v>
      </c>
      <c r="AF52" s="34">
        <f>G52*(1-1.0000350877193)</f>
        <v>0</v>
      </c>
      <c r="AG52" s="31" t="s">
        <v>13</v>
      </c>
      <c r="AM52" s="34">
        <f t="shared" si="35"/>
        <v>0</v>
      </c>
      <c r="AN52" s="34">
        <f t="shared" si="36"/>
        <v>0</v>
      </c>
      <c r="AO52" s="35" t="s">
        <v>221</v>
      </c>
      <c r="AP52" s="35" t="s">
        <v>232</v>
      </c>
      <c r="AQ52" s="26" t="s">
        <v>235</v>
      </c>
      <c r="AS52" s="34">
        <f t="shared" si="37"/>
        <v>0</v>
      </c>
      <c r="AT52" s="34">
        <f t="shared" si="38"/>
        <v>0</v>
      </c>
      <c r="AU52" s="34">
        <v>0</v>
      </c>
      <c r="AV52" s="34">
        <f t="shared" si="39"/>
        <v>0.041456</v>
      </c>
    </row>
    <row r="53" spans="1:48" ht="12.75">
      <c r="A53" s="5" t="s">
        <v>38</v>
      </c>
      <c r="B53" s="5"/>
      <c r="C53" s="5" t="s">
        <v>96</v>
      </c>
      <c r="D53" s="5" t="s">
        <v>157</v>
      </c>
      <c r="E53" s="5" t="s">
        <v>180</v>
      </c>
      <c r="F53" s="17">
        <v>43.37</v>
      </c>
      <c r="G53" s="17">
        <v>0</v>
      </c>
      <c r="H53" s="17">
        <f t="shared" si="20"/>
        <v>0</v>
      </c>
      <c r="I53" s="17">
        <f t="shared" si="21"/>
        <v>0</v>
      </c>
      <c r="J53" s="17">
        <f t="shared" si="22"/>
        <v>0</v>
      </c>
      <c r="K53" s="17">
        <v>0.00032</v>
      </c>
      <c r="L53" s="17">
        <f t="shared" si="23"/>
        <v>0.0138784</v>
      </c>
      <c r="M53" s="31" t="s">
        <v>281</v>
      </c>
      <c r="P53" s="34">
        <f t="shared" si="24"/>
        <v>0</v>
      </c>
      <c r="R53" s="34">
        <f t="shared" si="25"/>
        <v>0</v>
      </c>
      <c r="S53" s="34">
        <f t="shared" si="26"/>
        <v>0</v>
      </c>
      <c r="T53" s="34">
        <f t="shared" si="27"/>
        <v>0</v>
      </c>
      <c r="U53" s="34">
        <f t="shared" si="28"/>
        <v>0</v>
      </c>
      <c r="V53" s="34">
        <f t="shared" si="29"/>
        <v>0</v>
      </c>
      <c r="W53" s="34">
        <f t="shared" si="30"/>
        <v>0</v>
      </c>
      <c r="X53" s="34">
        <f t="shared" si="31"/>
        <v>0</v>
      </c>
      <c r="Y53" s="26"/>
      <c r="Z53" s="17">
        <f t="shared" si="32"/>
        <v>0</v>
      </c>
      <c r="AA53" s="17">
        <f t="shared" si="33"/>
        <v>0</v>
      </c>
      <c r="AB53" s="17">
        <f t="shared" si="34"/>
        <v>0</v>
      </c>
      <c r="AD53" s="34">
        <v>21</v>
      </c>
      <c r="AE53" s="34">
        <f>G53*0.0809607892656783</f>
        <v>0</v>
      </c>
      <c r="AF53" s="34">
        <f>G53*(1-0.0809607892656783)</f>
        <v>0</v>
      </c>
      <c r="AG53" s="31" t="s">
        <v>13</v>
      </c>
      <c r="AM53" s="34">
        <f t="shared" si="35"/>
        <v>0</v>
      </c>
      <c r="AN53" s="34">
        <f t="shared" si="36"/>
        <v>0</v>
      </c>
      <c r="AO53" s="35" t="s">
        <v>221</v>
      </c>
      <c r="AP53" s="35" t="s">
        <v>232</v>
      </c>
      <c r="AQ53" s="26" t="s">
        <v>235</v>
      </c>
      <c r="AS53" s="34">
        <f t="shared" si="37"/>
        <v>0</v>
      </c>
      <c r="AT53" s="34">
        <f t="shared" si="38"/>
        <v>0</v>
      </c>
      <c r="AU53" s="34">
        <v>0</v>
      </c>
      <c r="AV53" s="34">
        <f t="shared" si="39"/>
        <v>0.0138784</v>
      </c>
    </row>
    <row r="54" spans="1:48" ht="12.75">
      <c r="A54" s="7" t="s">
        <v>39</v>
      </c>
      <c r="B54" s="7"/>
      <c r="C54" s="7" t="s">
        <v>94</v>
      </c>
      <c r="D54" s="107" t="s">
        <v>284</v>
      </c>
      <c r="E54" s="7" t="s">
        <v>179</v>
      </c>
      <c r="F54" s="18">
        <v>7</v>
      </c>
      <c r="G54" s="18">
        <v>0</v>
      </c>
      <c r="H54" s="18">
        <f t="shared" si="20"/>
        <v>0</v>
      </c>
      <c r="I54" s="18">
        <f t="shared" si="21"/>
        <v>0</v>
      </c>
      <c r="J54" s="18">
        <f t="shared" si="22"/>
        <v>0</v>
      </c>
      <c r="K54" s="18">
        <v>0.018</v>
      </c>
      <c r="L54" s="18">
        <f t="shared" si="23"/>
        <v>0.126</v>
      </c>
      <c r="M54" s="55" t="s">
        <v>281</v>
      </c>
      <c r="P54" s="34">
        <f t="shared" si="24"/>
        <v>0</v>
      </c>
      <c r="R54" s="34">
        <f t="shared" si="25"/>
        <v>0</v>
      </c>
      <c r="S54" s="34">
        <f t="shared" si="26"/>
        <v>0</v>
      </c>
      <c r="T54" s="34">
        <f t="shared" si="27"/>
        <v>0</v>
      </c>
      <c r="U54" s="34">
        <f t="shared" si="28"/>
        <v>0</v>
      </c>
      <c r="V54" s="34">
        <f t="shared" si="29"/>
        <v>0</v>
      </c>
      <c r="W54" s="34">
        <f t="shared" si="30"/>
        <v>0</v>
      </c>
      <c r="X54" s="34">
        <f t="shared" si="31"/>
        <v>0</v>
      </c>
      <c r="Y54" s="26"/>
      <c r="Z54" s="18">
        <f t="shared" si="32"/>
        <v>0</v>
      </c>
      <c r="AA54" s="18">
        <f t="shared" si="33"/>
        <v>0</v>
      </c>
      <c r="AB54" s="18">
        <f t="shared" si="34"/>
        <v>0</v>
      </c>
      <c r="AD54" s="34">
        <v>21</v>
      </c>
      <c r="AE54" s="34">
        <f>G54*1</f>
        <v>0</v>
      </c>
      <c r="AF54" s="34">
        <f>G54*(1-1)</f>
        <v>0</v>
      </c>
      <c r="AG54" s="32" t="s">
        <v>13</v>
      </c>
      <c r="AM54" s="34">
        <f t="shared" si="35"/>
        <v>0</v>
      </c>
      <c r="AN54" s="34">
        <f t="shared" si="36"/>
        <v>0</v>
      </c>
      <c r="AO54" s="35" t="s">
        <v>221</v>
      </c>
      <c r="AP54" s="35" t="s">
        <v>232</v>
      </c>
      <c r="AQ54" s="26" t="s">
        <v>235</v>
      </c>
      <c r="AS54" s="34">
        <f t="shared" si="37"/>
        <v>0</v>
      </c>
      <c r="AT54" s="34">
        <f t="shared" si="38"/>
        <v>0</v>
      </c>
      <c r="AU54" s="34">
        <v>0</v>
      </c>
      <c r="AV54" s="34">
        <f t="shared" si="39"/>
        <v>0.126</v>
      </c>
    </row>
    <row r="55" spans="1:48" ht="12.75">
      <c r="A55" s="5" t="s">
        <v>40</v>
      </c>
      <c r="B55" s="5"/>
      <c r="C55" s="5" t="s">
        <v>97</v>
      </c>
      <c r="D55" s="5" t="s">
        <v>158</v>
      </c>
      <c r="E55" s="5" t="s">
        <v>180</v>
      </c>
      <c r="F55" s="17">
        <v>43.37</v>
      </c>
      <c r="G55" s="17">
        <v>0</v>
      </c>
      <c r="H55" s="17">
        <f t="shared" si="20"/>
        <v>0</v>
      </c>
      <c r="I55" s="17">
        <f t="shared" si="21"/>
        <v>0</v>
      </c>
      <c r="J55" s="17">
        <f t="shared" si="22"/>
        <v>0</v>
      </c>
      <c r="K55" s="17">
        <v>4E-05</v>
      </c>
      <c r="L55" s="17">
        <f t="shared" si="23"/>
        <v>0.0017348</v>
      </c>
      <c r="M55" s="31" t="s">
        <v>281</v>
      </c>
      <c r="P55" s="34">
        <f t="shared" si="24"/>
        <v>0</v>
      </c>
      <c r="R55" s="34">
        <f t="shared" si="25"/>
        <v>0</v>
      </c>
      <c r="S55" s="34">
        <f t="shared" si="26"/>
        <v>0</v>
      </c>
      <c r="T55" s="34">
        <f t="shared" si="27"/>
        <v>0</v>
      </c>
      <c r="U55" s="34">
        <f t="shared" si="28"/>
        <v>0</v>
      </c>
      <c r="V55" s="34">
        <f t="shared" si="29"/>
        <v>0</v>
      </c>
      <c r="W55" s="34">
        <f t="shared" si="30"/>
        <v>0</v>
      </c>
      <c r="X55" s="34">
        <f t="shared" si="31"/>
        <v>0</v>
      </c>
      <c r="Y55" s="26"/>
      <c r="Z55" s="17">
        <f t="shared" si="32"/>
        <v>0</v>
      </c>
      <c r="AA55" s="17">
        <f t="shared" si="33"/>
        <v>0</v>
      </c>
      <c r="AB55" s="17">
        <f t="shared" si="34"/>
        <v>0</v>
      </c>
      <c r="AD55" s="34">
        <v>21</v>
      </c>
      <c r="AE55" s="34">
        <f>G55*0.204105438319692</f>
        <v>0</v>
      </c>
      <c r="AF55" s="34">
        <f>G55*(1-0.204105438319692)</f>
        <v>0</v>
      </c>
      <c r="AG55" s="31" t="s">
        <v>13</v>
      </c>
      <c r="AM55" s="34">
        <f t="shared" si="35"/>
        <v>0</v>
      </c>
      <c r="AN55" s="34">
        <f t="shared" si="36"/>
        <v>0</v>
      </c>
      <c r="AO55" s="35" t="s">
        <v>221</v>
      </c>
      <c r="AP55" s="35" t="s">
        <v>232</v>
      </c>
      <c r="AQ55" s="26" t="s">
        <v>235</v>
      </c>
      <c r="AS55" s="34">
        <f t="shared" si="37"/>
        <v>0</v>
      </c>
      <c r="AT55" s="34">
        <f t="shared" si="38"/>
        <v>0</v>
      </c>
      <c r="AU55" s="34">
        <v>0</v>
      </c>
      <c r="AV55" s="34">
        <f t="shared" si="39"/>
        <v>0.0017348</v>
      </c>
    </row>
    <row r="56" spans="1:37" ht="12.75">
      <c r="A56" s="6"/>
      <c r="B56" s="14"/>
      <c r="C56" s="14" t="s">
        <v>98</v>
      </c>
      <c r="D56" s="14" t="s">
        <v>159</v>
      </c>
      <c r="E56" s="6" t="s">
        <v>6</v>
      </c>
      <c r="F56" s="6" t="s">
        <v>6</v>
      </c>
      <c r="G56" s="6" t="s">
        <v>6</v>
      </c>
      <c r="H56" s="37">
        <f>SUM(H57:H60)</f>
        <v>0</v>
      </c>
      <c r="I56" s="37">
        <f>SUM(I57:I60)</f>
        <v>0</v>
      </c>
      <c r="J56" s="37">
        <f>H56+I56</f>
        <v>0</v>
      </c>
      <c r="K56" s="26"/>
      <c r="L56" s="37">
        <f>SUM(L57:L60)</f>
        <v>0.08488000000000001</v>
      </c>
      <c r="M56" s="26"/>
      <c r="Y56" s="26"/>
      <c r="AI56" s="37">
        <f>SUM(Z57:Z60)</f>
        <v>0</v>
      </c>
      <c r="AJ56" s="37">
        <f>SUM(AA57:AA60)</f>
        <v>0</v>
      </c>
      <c r="AK56" s="37">
        <f>SUM(AB57:AB60)</f>
        <v>0</v>
      </c>
    </row>
    <row r="57" spans="1:48" ht="12.75">
      <c r="A57" s="5" t="s">
        <v>41</v>
      </c>
      <c r="B57" s="5"/>
      <c r="C57" s="5" t="s">
        <v>99</v>
      </c>
      <c r="D57" s="5" t="s">
        <v>160</v>
      </c>
      <c r="E57" s="5" t="s">
        <v>179</v>
      </c>
      <c r="F57" s="17">
        <v>8</v>
      </c>
      <c r="G57" s="17">
        <v>0</v>
      </c>
      <c r="H57" s="17">
        <f>F57*AE57</f>
        <v>0</v>
      </c>
      <c r="I57" s="17">
        <f>J57-H57</f>
        <v>0</v>
      </c>
      <c r="J57" s="17">
        <f>F57*G57</f>
        <v>0</v>
      </c>
      <c r="K57" s="17">
        <v>0.00011</v>
      </c>
      <c r="L57" s="17">
        <f>F57*K57</f>
        <v>0.00088</v>
      </c>
      <c r="M57" s="31" t="s">
        <v>281</v>
      </c>
      <c r="P57" s="34">
        <f>IF(AG57="5",J57,0)</f>
        <v>0</v>
      </c>
      <c r="R57" s="34">
        <f>IF(AG57="1",H57,0)</f>
        <v>0</v>
      </c>
      <c r="S57" s="34">
        <f>IF(AG57="1",I57,0)</f>
        <v>0</v>
      </c>
      <c r="T57" s="34">
        <f>IF(AG57="7",H57,0)</f>
        <v>0</v>
      </c>
      <c r="U57" s="34">
        <f>IF(AG57="7",I57,0)</f>
        <v>0</v>
      </c>
      <c r="V57" s="34">
        <f>IF(AG57="2",H57,0)</f>
        <v>0</v>
      </c>
      <c r="W57" s="34">
        <f>IF(AG57="2",I57,0)</f>
        <v>0</v>
      </c>
      <c r="X57" s="34">
        <f>IF(AG57="0",J57,0)</f>
        <v>0</v>
      </c>
      <c r="Y57" s="26"/>
      <c r="Z57" s="17">
        <f>IF(AD57=0,J57,0)</f>
        <v>0</v>
      </c>
      <c r="AA57" s="17">
        <f>IF(AD57=15,J57,0)</f>
        <v>0</v>
      </c>
      <c r="AB57" s="17">
        <f>IF(AD57=21,J57,0)</f>
        <v>0</v>
      </c>
      <c r="AD57" s="34">
        <v>21</v>
      </c>
      <c r="AE57" s="34">
        <f>G57*0.338586145648313</f>
        <v>0</v>
      </c>
      <c r="AF57" s="34">
        <f>G57*(1-0.338586145648313)</f>
        <v>0</v>
      </c>
      <c r="AG57" s="31" t="s">
        <v>13</v>
      </c>
      <c r="AM57" s="34">
        <f>F57*AE57</f>
        <v>0</v>
      </c>
      <c r="AN57" s="34">
        <f>F57*AF57</f>
        <v>0</v>
      </c>
      <c r="AO57" s="35" t="s">
        <v>222</v>
      </c>
      <c r="AP57" s="35" t="s">
        <v>233</v>
      </c>
      <c r="AQ57" s="26" t="s">
        <v>235</v>
      </c>
      <c r="AS57" s="34">
        <f>AM57+AN57</f>
        <v>0</v>
      </c>
      <c r="AT57" s="34">
        <f>G57/(100-AU57)*100</f>
        <v>0</v>
      </c>
      <c r="AU57" s="34">
        <v>0</v>
      </c>
      <c r="AV57" s="34">
        <f>L57</f>
        <v>0.00088</v>
      </c>
    </row>
    <row r="58" spans="1:48" ht="12.75">
      <c r="A58" s="5" t="s">
        <v>42</v>
      </c>
      <c r="B58" s="5"/>
      <c r="C58" s="5" t="s">
        <v>100</v>
      </c>
      <c r="D58" s="5" t="s">
        <v>161</v>
      </c>
      <c r="E58" s="5" t="s">
        <v>179</v>
      </c>
      <c r="F58" s="17">
        <v>7.4</v>
      </c>
      <c r="G58" s="17">
        <v>0</v>
      </c>
      <c r="H58" s="17">
        <f>F58*AE58</f>
        <v>0</v>
      </c>
      <c r="I58" s="17">
        <f>J58-H58</f>
        <v>0</v>
      </c>
      <c r="J58" s="17">
        <f>F58*G58</f>
        <v>0</v>
      </c>
      <c r="K58" s="17">
        <v>0</v>
      </c>
      <c r="L58" s="17">
        <f>F58*K58</f>
        <v>0</v>
      </c>
      <c r="M58" s="31" t="s">
        <v>281</v>
      </c>
      <c r="P58" s="34">
        <f>IF(AG58="5",J58,0)</f>
        <v>0</v>
      </c>
      <c r="R58" s="34">
        <f>IF(AG58="1",H58,0)</f>
        <v>0</v>
      </c>
      <c r="S58" s="34">
        <f>IF(AG58="1",I58,0)</f>
        <v>0</v>
      </c>
      <c r="T58" s="34">
        <f>IF(AG58="7",H58,0)</f>
        <v>0</v>
      </c>
      <c r="U58" s="34">
        <f>IF(AG58="7",I58,0)</f>
        <v>0</v>
      </c>
      <c r="V58" s="34">
        <f>IF(AG58="2",H58,0)</f>
        <v>0</v>
      </c>
      <c r="W58" s="34">
        <f>IF(AG58="2",I58,0)</f>
        <v>0</v>
      </c>
      <c r="X58" s="34">
        <f>IF(AG58="0",J58,0)</f>
        <v>0</v>
      </c>
      <c r="Y58" s="26"/>
      <c r="Z58" s="17">
        <f>IF(AD58=0,J58,0)</f>
        <v>0</v>
      </c>
      <c r="AA58" s="17">
        <f>IF(AD58=15,J58,0)</f>
        <v>0</v>
      </c>
      <c r="AB58" s="17">
        <f>IF(AD58=21,J58,0)</f>
        <v>0</v>
      </c>
      <c r="AD58" s="34">
        <v>21</v>
      </c>
      <c r="AE58" s="34">
        <f>G58*0</f>
        <v>0</v>
      </c>
      <c r="AF58" s="34">
        <f>G58*(1-0)</f>
        <v>0</v>
      </c>
      <c r="AG58" s="31" t="s">
        <v>13</v>
      </c>
      <c r="AM58" s="34">
        <f>F58*AE58</f>
        <v>0</v>
      </c>
      <c r="AN58" s="34">
        <f>F58*AF58</f>
        <v>0</v>
      </c>
      <c r="AO58" s="35" t="s">
        <v>222</v>
      </c>
      <c r="AP58" s="35" t="s">
        <v>233</v>
      </c>
      <c r="AQ58" s="26" t="s">
        <v>235</v>
      </c>
      <c r="AS58" s="34">
        <f>AM58+AN58</f>
        <v>0</v>
      </c>
      <c r="AT58" s="34">
        <f>G58/(100-AU58)*100</f>
        <v>0</v>
      </c>
      <c r="AU58" s="34">
        <v>0</v>
      </c>
      <c r="AV58" s="34">
        <f>L58</f>
        <v>0</v>
      </c>
    </row>
    <row r="59" spans="1:48" ht="12.75">
      <c r="A59" s="7" t="s">
        <v>43</v>
      </c>
      <c r="B59" s="7"/>
      <c r="C59" s="7" t="s">
        <v>101</v>
      </c>
      <c r="D59" s="107" t="s">
        <v>286</v>
      </c>
      <c r="E59" s="7" t="s">
        <v>179</v>
      </c>
      <c r="F59" s="18">
        <v>8</v>
      </c>
      <c r="G59" s="18">
        <v>0</v>
      </c>
      <c r="H59" s="18">
        <f>F59*AE59</f>
        <v>0</v>
      </c>
      <c r="I59" s="18">
        <f>J59-H59</f>
        <v>0</v>
      </c>
      <c r="J59" s="18">
        <f>F59*G59</f>
        <v>0</v>
      </c>
      <c r="K59" s="18">
        <v>0.0105</v>
      </c>
      <c r="L59" s="18">
        <f>F59*K59</f>
        <v>0.084</v>
      </c>
      <c r="M59" s="55" t="s">
        <v>281</v>
      </c>
      <c r="P59" s="34">
        <f>IF(AG59="5",J59,0)</f>
        <v>0</v>
      </c>
      <c r="R59" s="34">
        <f>IF(AG59="1",H59,0)</f>
        <v>0</v>
      </c>
      <c r="S59" s="34">
        <f>IF(AG59="1",I59,0)</f>
        <v>0</v>
      </c>
      <c r="T59" s="34">
        <f>IF(AG59="7",H59,0)</f>
        <v>0</v>
      </c>
      <c r="U59" s="34">
        <f>IF(AG59="7",I59,0)</f>
        <v>0</v>
      </c>
      <c r="V59" s="34">
        <f>IF(AG59="2",H59,0)</f>
        <v>0</v>
      </c>
      <c r="W59" s="34">
        <f>IF(AG59="2",I59,0)</f>
        <v>0</v>
      </c>
      <c r="X59" s="34">
        <f>IF(AG59="0",J59,0)</f>
        <v>0</v>
      </c>
      <c r="Y59" s="26"/>
      <c r="Z59" s="18">
        <f>IF(AD59=0,J59,0)</f>
        <v>0</v>
      </c>
      <c r="AA59" s="18">
        <f>IF(AD59=15,J59,0)</f>
        <v>0</v>
      </c>
      <c r="AB59" s="18">
        <f>IF(AD59=21,J59,0)</f>
        <v>0</v>
      </c>
      <c r="AD59" s="34">
        <v>21</v>
      </c>
      <c r="AE59" s="34">
        <f>G59*1</f>
        <v>0</v>
      </c>
      <c r="AF59" s="34">
        <f>G59*(1-1)</f>
        <v>0</v>
      </c>
      <c r="AG59" s="32" t="s">
        <v>13</v>
      </c>
      <c r="AM59" s="34">
        <f>F59*AE59</f>
        <v>0</v>
      </c>
      <c r="AN59" s="34">
        <f>F59*AF59</f>
        <v>0</v>
      </c>
      <c r="AO59" s="35" t="s">
        <v>222</v>
      </c>
      <c r="AP59" s="35" t="s">
        <v>233</v>
      </c>
      <c r="AQ59" s="26" t="s">
        <v>235</v>
      </c>
      <c r="AS59" s="34">
        <f>AM59+AN59</f>
        <v>0</v>
      </c>
      <c r="AT59" s="34">
        <f>G59/(100-AU59)*100</f>
        <v>0</v>
      </c>
      <c r="AU59" s="34">
        <v>0</v>
      </c>
      <c r="AV59" s="34">
        <f>L59</f>
        <v>0.084</v>
      </c>
    </row>
    <row r="60" spans="1:48" ht="12.75">
      <c r="A60" s="5" t="s">
        <v>44</v>
      </c>
      <c r="B60" s="5"/>
      <c r="C60" s="5" t="s">
        <v>102</v>
      </c>
      <c r="D60" s="108" t="s">
        <v>285</v>
      </c>
      <c r="E60" s="5" t="s">
        <v>179</v>
      </c>
      <c r="F60" s="17">
        <v>8</v>
      </c>
      <c r="G60" s="17">
        <v>0</v>
      </c>
      <c r="H60" s="17">
        <f>F60*AE60</f>
        <v>0</v>
      </c>
      <c r="I60" s="17">
        <f>J60-H60</f>
        <v>0</v>
      </c>
      <c r="J60" s="17">
        <f>F60*G60</f>
        <v>0</v>
      </c>
      <c r="K60" s="17">
        <v>0</v>
      </c>
      <c r="L60" s="17">
        <f>F60*K60</f>
        <v>0</v>
      </c>
      <c r="M60" s="31" t="s">
        <v>281</v>
      </c>
      <c r="P60" s="34">
        <f>IF(AG60="5",J60,0)</f>
        <v>0</v>
      </c>
      <c r="R60" s="34">
        <f>IF(AG60="1",H60,0)</f>
        <v>0</v>
      </c>
      <c r="S60" s="34">
        <f>IF(AG60="1",I60,0)</f>
        <v>0</v>
      </c>
      <c r="T60" s="34">
        <f>IF(AG60="7",H60,0)</f>
        <v>0</v>
      </c>
      <c r="U60" s="34">
        <f>IF(AG60="7",I60,0)</f>
        <v>0</v>
      </c>
      <c r="V60" s="34">
        <f>IF(AG60="2",H60,0)</f>
        <v>0</v>
      </c>
      <c r="W60" s="34">
        <f>IF(AG60="2",I60,0)</f>
        <v>0</v>
      </c>
      <c r="X60" s="34">
        <f>IF(AG60="0",J60,0)</f>
        <v>0</v>
      </c>
      <c r="Y60" s="26"/>
      <c r="Z60" s="17">
        <f>IF(AD60=0,J60,0)</f>
        <v>0</v>
      </c>
      <c r="AA60" s="17">
        <f>IF(AD60=15,J60,0)</f>
        <v>0</v>
      </c>
      <c r="AB60" s="17">
        <f>IF(AD60=21,J60,0)</f>
        <v>0</v>
      </c>
      <c r="AD60" s="34">
        <v>21</v>
      </c>
      <c r="AE60" s="34">
        <f>G60*0</f>
        <v>0</v>
      </c>
      <c r="AF60" s="34">
        <f>G60*(1-0)</f>
        <v>0</v>
      </c>
      <c r="AG60" s="31" t="s">
        <v>13</v>
      </c>
      <c r="AM60" s="34">
        <f>F60*AE60</f>
        <v>0</v>
      </c>
      <c r="AN60" s="34">
        <f>F60*AF60</f>
        <v>0</v>
      </c>
      <c r="AO60" s="35" t="s">
        <v>222</v>
      </c>
      <c r="AP60" s="35" t="s">
        <v>233</v>
      </c>
      <c r="AQ60" s="26" t="s">
        <v>235</v>
      </c>
      <c r="AS60" s="34">
        <f>AM60+AN60</f>
        <v>0</v>
      </c>
      <c r="AT60" s="34">
        <f>G60/(100-AU60)*100</f>
        <v>0</v>
      </c>
      <c r="AU60" s="34">
        <v>0</v>
      </c>
      <c r="AV60" s="34">
        <f>L60</f>
        <v>0</v>
      </c>
    </row>
    <row r="61" spans="1:37" ht="12.75">
      <c r="A61" s="6"/>
      <c r="B61" s="14"/>
      <c r="C61" s="14" t="s">
        <v>103</v>
      </c>
      <c r="D61" s="14" t="s">
        <v>162</v>
      </c>
      <c r="E61" s="6" t="s">
        <v>6</v>
      </c>
      <c r="F61" s="6" t="s">
        <v>6</v>
      </c>
      <c r="G61" s="6" t="s">
        <v>6</v>
      </c>
      <c r="H61" s="37">
        <f>SUM(H62:H63)</f>
        <v>0</v>
      </c>
      <c r="I61" s="37">
        <f>SUM(I62:I63)</f>
        <v>0</v>
      </c>
      <c r="J61" s="37">
        <f>H61+I61</f>
        <v>0</v>
      </c>
      <c r="K61" s="26"/>
      <c r="L61" s="37">
        <f>SUM(L62:L63)</f>
        <v>20.537170000000003</v>
      </c>
      <c r="M61" s="26"/>
      <c r="Y61" s="26"/>
      <c r="AI61" s="37">
        <f>SUM(Z62:Z63)</f>
        <v>0</v>
      </c>
      <c r="AJ61" s="37">
        <f>SUM(AA62:AA63)</f>
        <v>0</v>
      </c>
      <c r="AK61" s="37">
        <f>SUM(AB62:AB63)</f>
        <v>0</v>
      </c>
    </row>
    <row r="62" spans="1:48" ht="12.75">
      <c r="A62" s="5" t="s">
        <v>45</v>
      </c>
      <c r="B62" s="5"/>
      <c r="C62" s="5" t="s">
        <v>104</v>
      </c>
      <c r="D62" s="5" t="s">
        <v>163</v>
      </c>
      <c r="E62" s="5" t="s">
        <v>179</v>
      </c>
      <c r="F62" s="17">
        <v>1</v>
      </c>
      <c r="G62" s="17">
        <v>0</v>
      </c>
      <c r="H62" s="17">
        <f>F62*AE62</f>
        <v>0</v>
      </c>
      <c r="I62" s="17">
        <f>J62-H62</f>
        <v>0</v>
      </c>
      <c r="J62" s="17">
        <f>F62*G62</f>
        <v>0</v>
      </c>
      <c r="K62" s="17">
        <v>0.07717</v>
      </c>
      <c r="L62" s="17">
        <f>F62*K62</f>
        <v>0.07717</v>
      </c>
      <c r="M62" s="31" t="s">
        <v>281</v>
      </c>
      <c r="P62" s="34">
        <f>IF(AG62="5",J62,0)</f>
        <v>0</v>
      </c>
      <c r="R62" s="34">
        <f>IF(AG62="1",H62,0)</f>
        <v>0</v>
      </c>
      <c r="S62" s="34">
        <f>IF(AG62="1",I62,0)</f>
        <v>0</v>
      </c>
      <c r="T62" s="34">
        <f>IF(AG62="7",H62,0)</f>
        <v>0</v>
      </c>
      <c r="U62" s="34">
        <f>IF(AG62="7",I62,0)</f>
        <v>0</v>
      </c>
      <c r="V62" s="34">
        <f>IF(AG62="2",H62,0)</f>
        <v>0</v>
      </c>
      <c r="W62" s="34">
        <f>IF(AG62="2",I62,0)</f>
        <v>0</v>
      </c>
      <c r="X62" s="34">
        <f>IF(AG62="0",J62,0)</f>
        <v>0</v>
      </c>
      <c r="Y62" s="26"/>
      <c r="Z62" s="17">
        <f>IF(AD62=0,J62,0)</f>
        <v>0</v>
      </c>
      <c r="AA62" s="17">
        <f>IF(AD62=15,J62,0)</f>
        <v>0</v>
      </c>
      <c r="AB62" s="17">
        <f>IF(AD62=21,J62,0)</f>
        <v>0</v>
      </c>
      <c r="AD62" s="34">
        <v>21</v>
      </c>
      <c r="AE62" s="34">
        <f>G62*0.0910130718954248</f>
        <v>0</v>
      </c>
      <c r="AF62" s="34">
        <f>G62*(1-0.0910130718954248)</f>
        <v>0</v>
      </c>
      <c r="AG62" s="31" t="s">
        <v>7</v>
      </c>
      <c r="AM62" s="34">
        <f>F62*AE62</f>
        <v>0</v>
      </c>
      <c r="AN62" s="34">
        <f>F62*AF62</f>
        <v>0</v>
      </c>
      <c r="AO62" s="35" t="s">
        <v>223</v>
      </c>
      <c r="AP62" s="35" t="s">
        <v>234</v>
      </c>
      <c r="AQ62" s="26" t="s">
        <v>235</v>
      </c>
      <c r="AS62" s="34">
        <f>AM62+AN62</f>
        <v>0</v>
      </c>
      <c r="AT62" s="34">
        <f>G62/(100-AU62)*100</f>
        <v>0</v>
      </c>
      <c r="AU62" s="34">
        <v>0</v>
      </c>
      <c r="AV62" s="34">
        <f>L62</f>
        <v>0.07717</v>
      </c>
    </row>
    <row r="63" spans="1:48" ht="12.75">
      <c r="A63" s="5" t="s">
        <v>46</v>
      </c>
      <c r="B63" s="5"/>
      <c r="C63" s="5" t="s">
        <v>105</v>
      </c>
      <c r="D63" s="5" t="s">
        <v>164</v>
      </c>
      <c r="E63" s="5" t="s">
        <v>181</v>
      </c>
      <c r="F63" s="17">
        <v>9.3</v>
      </c>
      <c r="G63" s="17">
        <v>0</v>
      </c>
      <c r="H63" s="17">
        <f>F63*AE63</f>
        <v>0</v>
      </c>
      <c r="I63" s="17">
        <f>J63-H63</f>
        <v>0</v>
      </c>
      <c r="J63" s="17">
        <f>F63*G63</f>
        <v>0</v>
      </c>
      <c r="K63" s="17">
        <v>2.2</v>
      </c>
      <c r="L63" s="17">
        <f>F63*K63</f>
        <v>20.460000000000004</v>
      </c>
      <c r="M63" s="31" t="s">
        <v>281</v>
      </c>
      <c r="P63" s="34">
        <f>IF(AG63="5",J63,0)</f>
        <v>0</v>
      </c>
      <c r="R63" s="34">
        <f>IF(AG63="1",H63,0)</f>
        <v>0</v>
      </c>
      <c r="S63" s="34">
        <f>IF(AG63="1",I63,0)</f>
        <v>0</v>
      </c>
      <c r="T63" s="34">
        <f>IF(AG63="7",H63,0)</f>
        <v>0</v>
      </c>
      <c r="U63" s="34">
        <f>IF(AG63="7",I63,0)</f>
        <v>0</v>
      </c>
      <c r="V63" s="34">
        <f>IF(AG63="2",H63,0)</f>
        <v>0</v>
      </c>
      <c r="W63" s="34">
        <f>IF(AG63="2",I63,0)</f>
        <v>0</v>
      </c>
      <c r="X63" s="34">
        <f>IF(AG63="0",J63,0)</f>
        <v>0</v>
      </c>
      <c r="Y63" s="26"/>
      <c r="Z63" s="17">
        <f>IF(AD63=0,J63,0)</f>
        <v>0</v>
      </c>
      <c r="AA63" s="17">
        <f>IF(AD63=15,J63,0)</f>
        <v>0</v>
      </c>
      <c r="AB63" s="17">
        <f>IF(AD63=21,J63,0)</f>
        <v>0</v>
      </c>
      <c r="AD63" s="34">
        <v>21</v>
      </c>
      <c r="AE63" s="34">
        <f>G63*0</f>
        <v>0</v>
      </c>
      <c r="AF63" s="34">
        <f>G63*(1-0)</f>
        <v>0</v>
      </c>
      <c r="AG63" s="31" t="s">
        <v>7</v>
      </c>
      <c r="AM63" s="34">
        <f>F63*AE63</f>
        <v>0</v>
      </c>
      <c r="AN63" s="34">
        <f>F63*AF63</f>
        <v>0</v>
      </c>
      <c r="AO63" s="35" t="s">
        <v>223</v>
      </c>
      <c r="AP63" s="35" t="s">
        <v>234</v>
      </c>
      <c r="AQ63" s="26" t="s">
        <v>235</v>
      </c>
      <c r="AS63" s="34">
        <f>AM63+AN63</f>
        <v>0</v>
      </c>
      <c r="AT63" s="34">
        <f>G63/(100-AU63)*100</f>
        <v>0</v>
      </c>
      <c r="AU63" s="34">
        <v>0</v>
      </c>
      <c r="AV63" s="34">
        <f>L63</f>
        <v>20.460000000000004</v>
      </c>
    </row>
    <row r="64" spans="1:37" ht="12.75">
      <c r="A64" s="6"/>
      <c r="B64" s="14"/>
      <c r="C64" s="14" t="s">
        <v>106</v>
      </c>
      <c r="D64" s="14" t="s">
        <v>165</v>
      </c>
      <c r="E64" s="6" t="s">
        <v>6</v>
      </c>
      <c r="F64" s="6" t="s">
        <v>6</v>
      </c>
      <c r="G64" s="6" t="s">
        <v>6</v>
      </c>
      <c r="H64" s="37">
        <f>SUM(H65:H65)</f>
        <v>0</v>
      </c>
      <c r="I64" s="37">
        <f>SUM(I65:I65)</f>
        <v>0</v>
      </c>
      <c r="J64" s="37">
        <f>H64+I64</f>
        <v>0</v>
      </c>
      <c r="K64" s="26"/>
      <c r="L64" s="37">
        <f>SUM(L65:L65)</f>
        <v>0</v>
      </c>
      <c r="M64" s="26"/>
      <c r="Y64" s="26"/>
      <c r="AI64" s="37">
        <f>SUM(Z65:Z65)</f>
        <v>0</v>
      </c>
      <c r="AJ64" s="37">
        <f>SUM(AA65:AA65)</f>
        <v>0</v>
      </c>
      <c r="AK64" s="37">
        <f>SUM(AB65:AB65)</f>
        <v>0</v>
      </c>
    </row>
    <row r="65" spans="1:48" ht="12.75">
      <c r="A65" s="5" t="s">
        <v>47</v>
      </c>
      <c r="B65" s="5"/>
      <c r="C65" s="5" t="s">
        <v>107</v>
      </c>
      <c r="D65" s="5" t="s">
        <v>166</v>
      </c>
      <c r="E65" s="5" t="s">
        <v>182</v>
      </c>
      <c r="F65" s="17">
        <v>44.593</v>
      </c>
      <c r="G65" s="17">
        <v>0</v>
      </c>
      <c r="H65" s="17">
        <f>F65*AE65</f>
        <v>0</v>
      </c>
      <c r="I65" s="17">
        <f>J65-H65</f>
        <v>0</v>
      </c>
      <c r="J65" s="17">
        <f>F65*G65</f>
        <v>0</v>
      </c>
      <c r="K65" s="17">
        <v>0</v>
      </c>
      <c r="L65" s="17">
        <f>F65*K65</f>
        <v>0</v>
      </c>
      <c r="M65" s="31" t="s">
        <v>281</v>
      </c>
      <c r="P65" s="34">
        <f>IF(AG65="5",J65,0)</f>
        <v>0</v>
      </c>
      <c r="R65" s="34">
        <f>IF(AG65="1",H65,0)</f>
        <v>0</v>
      </c>
      <c r="S65" s="34">
        <f>IF(AG65="1",I65,0)</f>
        <v>0</v>
      </c>
      <c r="T65" s="34">
        <f>IF(AG65="7",H65,0)</f>
        <v>0</v>
      </c>
      <c r="U65" s="34">
        <f>IF(AG65="7",I65,0)</f>
        <v>0</v>
      </c>
      <c r="V65" s="34">
        <f>IF(AG65="2",H65,0)</f>
        <v>0</v>
      </c>
      <c r="W65" s="34">
        <f>IF(AG65="2",I65,0)</f>
        <v>0</v>
      </c>
      <c r="X65" s="34">
        <f>IF(AG65="0",J65,0)</f>
        <v>0</v>
      </c>
      <c r="Y65" s="26"/>
      <c r="Z65" s="17">
        <f>IF(AD65=0,J65,0)</f>
        <v>0</v>
      </c>
      <c r="AA65" s="17">
        <f>IF(AD65=15,J65,0)</f>
        <v>0</v>
      </c>
      <c r="AB65" s="17">
        <f>IF(AD65=21,J65,0)</f>
        <v>0</v>
      </c>
      <c r="AD65" s="34">
        <v>21</v>
      </c>
      <c r="AE65" s="34">
        <f>G65*0</f>
        <v>0</v>
      </c>
      <c r="AF65" s="34">
        <f>G65*(1-0)</f>
        <v>0</v>
      </c>
      <c r="AG65" s="31" t="s">
        <v>11</v>
      </c>
      <c r="AM65" s="34">
        <f>F65*AE65</f>
        <v>0</v>
      </c>
      <c r="AN65" s="34">
        <f>F65*AF65</f>
        <v>0</v>
      </c>
      <c r="AO65" s="35" t="s">
        <v>224</v>
      </c>
      <c r="AP65" s="35" t="s">
        <v>234</v>
      </c>
      <c r="AQ65" s="26" t="s">
        <v>235</v>
      </c>
      <c r="AS65" s="34">
        <f>AM65+AN65</f>
        <v>0</v>
      </c>
      <c r="AT65" s="34">
        <f>G65/(100-AU65)*100</f>
        <v>0</v>
      </c>
      <c r="AU65" s="34">
        <v>0</v>
      </c>
      <c r="AV65" s="34">
        <f>L65</f>
        <v>0</v>
      </c>
    </row>
    <row r="66" spans="1:37" ht="12.75">
      <c r="A66" s="6"/>
      <c r="B66" s="14"/>
      <c r="C66" s="14" t="s">
        <v>108</v>
      </c>
      <c r="D66" s="14" t="s">
        <v>167</v>
      </c>
      <c r="E66" s="6" t="s">
        <v>6</v>
      </c>
      <c r="F66" s="6" t="s">
        <v>6</v>
      </c>
      <c r="G66" s="6" t="s">
        <v>6</v>
      </c>
      <c r="H66" s="37">
        <f>SUM(H67:H72)</f>
        <v>0</v>
      </c>
      <c r="I66" s="37">
        <f>SUM(I67:I72)</f>
        <v>0</v>
      </c>
      <c r="J66" s="37">
        <f>H66+I66</f>
        <v>0</v>
      </c>
      <c r="K66" s="26"/>
      <c r="L66" s="37">
        <f>SUM(L67:L72)</f>
        <v>0</v>
      </c>
      <c r="M66" s="26"/>
      <c r="Y66" s="26"/>
      <c r="AI66" s="37">
        <f>SUM(Z67:Z72)</f>
        <v>0</v>
      </c>
      <c r="AJ66" s="37">
        <f>SUM(AA67:AA72)</f>
        <v>0</v>
      </c>
      <c r="AK66" s="37">
        <f>SUM(AB67:AB72)</f>
        <v>0</v>
      </c>
    </row>
    <row r="67" spans="1:48" ht="12.75">
      <c r="A67" s="5" t="s">
        <v>48</v>
      </c>
      <c r="B67" s="5"/>
      <c r="C67" s="5" t="s">
        <v>109</v>
      </c>
      <c r="D67" s="5" t="s">
        <v>168</v>
      </c>
      <c r="E67" s="5" t="s">
        <v>182</v>
      </c>
      <c r="F67" s="17">
        <v>20.537</v>
      </c>
      <c r="G67" s="17">
        <v>0</v>
      </c>
      <c r="H67" s="17">
        <f aca="true" t="shared" si="40" ref="H67:H72">F67*AE67</f>
        <v>0</v>
      </c>
      <c r="I67" s="17">
        <f aca="true" t="shared" si="41" ref="I67:I72">J67-H67</f>
        <v>0</v>
      </c>
      <c r="J67" s="17">
        <f aca="true" t="shared" si="42" ref="J67:J72">F67*G67</f>
        <v>0</v>
      </c>
      <c r="K67" s="17">
        <v>0</v>
      </c>
      <c r="L67" s="17">
        <f aca="true" t="shared" si="43" ref="L67:L72">F67*K67</f>
        <v>0</v>
      </c>
      <c r="M67" s="31" t="s">
        <v>281</v>
      </c>
      <c r="P67" s="34">
        <f aca="true" t="shared" si="44" ref="P67:P72">IF(AG67="5",J67,0)</f>
        <v>0</v>
      </c>
      <c r="R67" s="34">
        <f aca="true" t="shared" si="45" ref="R67:R72">IF(AG67="1",H67,0)</f>
        <v>0</v>
      </c>
      <c r="S67" s="34">
        <f aca="true" t="shared" si="46" ref="S67:S72">IF(AG67="1",I67,0)</f>
        <v>0</v>
      </c>
      <c r="T67" s="34">
        <f aca="true" t="shared" si="47" ref="T67:T72">IF(AG67="7",H67,0)</f>
        <v>0</v>
      </c>
      <c r="U67" s="34">
        <f aca="true" t="shared" si="48" ref="U67:U72">IF(AG67="7",I67,0)</f>
        <v>0</v>
      </c>
      <c r="V67" s="34">
        <f aca="true" t="shared" si="49" ref="V67:V72">IF(AG67="2",H67,0)</f>
        <v>0</v>
      </c>
      <c r="W67" s="34">
        <f aca="true" t="shared" si="50" ref="W67:W72">IF(AG67="2",I67,0)</f>
        <v>0</v>
      </c>
      <c r="X67" s="34">
        <f aca="true" t="shared" si="51" ref="X67:X72">IF(AG67="0",J67,0)</f>
        <v>0</v>
      </c>
      <c r="Y67" s="26"/>
      <c r="Z67" s="17">
        <f aca="true" t="shared" si="52" ref="Z67:Z72">IF(AD67=0,J67,0)</f>
        <v>0</v>
      </c>
      <c r="AA67" s="17">
        <f aca="true" t="shared" si="53" ref="AA67:AA72">IF(AD67=15,J67,0)</f>
        <v>0</v>
      </c>
      <c r="AB67" s="17">
        <f aca="true" t="shared" si="54" ref="AB67:AB72">IF(AD67=21,J67,0)</f>
        <v>0</v>
      </c>
      <c r="AD67" s="34">
        <v>21</v>
      </c>
      <c r="AE67" s="34">
        <f aca="true" t="shared" si="55" ref="AE67:AE72">G67*0</f>
        <v>0</v>
      </c>
      <c r="AF67" s="34">
        <f aca="true" t="shared" si="56" ref="AF67:AF72">G67*(1-0)</f>
        <v>0</v>
      </c>
      <c r="AG67" s="31" t="s">
        <v>11</v>
      </c>
      <c r="AM67" s="34">
        <f aca="true" t="shared" si="57" ref="AM67:AM72">F67*AE67</f>
        <v>0</v>
      </c>
      <c r="AN67" s="34">
        <f aca="true" t="shared" si="58" ref="AN67:AN72">F67*AF67</f>
        <v>0</v>
      </c>
      <c r="AO67" s="35" t="s">
        <v>225</v>
      </c>
      <c r="AP67" s="35" t="s">
        <v>234</v>
      </c>
      <c r="AQ67" s="26" t="s">
        <v>235</v>
      </c>
      <c r="AS67" s="34">
        <f aca="true" t="shared" si="59" ref="AS67:AS72">AM67+AN67</f>
        <v>0</v>
      </c>
      <c r="AT67" s="34">
        <f aca="true" t="shared" si="60" ref="AT67:AT72">G67/(100-AU67)*100</f>
        <v>0</v>
      </c>
      <c r="AU67" s="34">
        <v>0</v>
      </c>
      <c r="AV67" s="34">
        <f aca="true" t="shared" si="61" ref="AV67:AV72">L67</f>
        <v>0</v>
      </c>
    </row>
    <row r="68" spans="1:48" ht="12.75">
      <c r="A68" s="5" t="s">
        <v>49</v>
      </c>
      <c r="B68" s="5"/>
      <c r="C68" s="5" t="s">
        <v>110</v>
      </c>
      <c r="D68" s="5" t="s">
        <v>169</v>
      </c>
      <c r="E68" s="5" t="s">
        <v>182</v>
      </c>
      <c r="F68" s="17">
        <v>20.537</v>
      </c>
      <c r="G68" s="17">
        <v>0</v>
      </c>
      <c r="H68" s="17">
        <f t="shared" si="40"/>
        <v>0</v>
      </c>
      <c r="I68" s="17">
        <f t="shared" si="41"/>
        <v>0</v>
      </c>
      <c r="J68" s="17">
        <f t="shared" si="42"/>
        <v>0</v>
      </c>
      <c r="K68" s="17">
        <v>0</v>
      </c>
      <c r="L68" s="17">
        <f t="shared" si="43"/>
        <v>0</v>
      </c>
      <c r="M68" s="31" t="s">
        <v>281</v>
      </c>
      <c r="P68" s="34">
        <f t="shared" si="44"/>
        <v>0</v>
      </c>
      <c r="R68" s="34">
        <f t="shared" si="45"/>
        <v>0</v>
      </c>
      <c r="S68" s="34">
        <f t="shared" si="46"/>
        <v>0</v>
      </c>
      <c r="T68" s="34">
        <f t="shared" si="47"/>
        <v>0</v>
      </c>
      <c r="U68" s="34">
        <f t="shared" si="48"/>
        <v>0</v>
      </c>
      <c r="V68" s="34">
        <f t="shared" si="49"/>
        <v>0</v>
      </c>
      <c r="W68" s="34">
        <f t="shared" si="50"/>
        <v>0</v>
      </c>
      <c r="X68" s="34">
        <f t="shared" si="51"/>
        <v>0</v>
      </c>
      <c r="Y68" s="26"/>
      <c r="Z68" s="17">
        <f t="shared" si="52"/>
        <v>0</v>
      </c>
      <c r="AA68" s="17">
        <f t="shared" si="53"/>
        <v>0</v>
      </c>
      <c r="AB68" s="17">
        <f t="shared" si="54"/>
        <v>0</v>
      </c>
      <c r="AD68" s="34">
        <v>21</v>
      </c>
      <c r="AE68" s="34">
        <f t="shared" si="55"/>
        <v>0</v>
      </c>
      <c r="AF68" s="34">
        <f t="shared" si="56"/>
        <v>0</v>
      </c>
      <c r="AG68" s="31" t="s">
        <v>11</v>
      </c>
      <c r="AM68" s="34">
        <f t="shared" si="57"/>
        <v>0</v>
      </c>
      <c r="AN68" s="34">
        <f t="shared" si="58"/>
        <v>0</v>
      </c>
      <c r="AO68" s="35" t="s">
        <v>225</v>
      </c>
      <c r="AP68" s="35" t="s">
        <v>234</v>
      </c>
      <c r="AQ68" s="26" t="s">
        <v>235</v>
      </c>
      <c r="AS68" s="34">
        <f t="shared" si="59"/>
        <v>0</v>
      </c>
      <c r="AT68" s="34">
        <f t="shared" si="60"/>
        <v>0</v>
      </c>
      <c r="AU68" s="34">
        <v>0</v>
      </c>
      <c r="AV68" s="34">
        <f t="shared" si="61"/>
        <v>0</v>
      </c>
    </row>
    <row r="69" spans="1:48" ht="12.75">
      <c r="A69" s="5" t="s">
        <v>50</v>
      </c>
      <c r="B69" s="5"/>
      <c r="C69" s="5" t="s">
        <v>111</v>
      </c>
      <c r="D69" s="5" t="s">
        <v>170</v>
      </c>
      <c r="E69" s="5" t="s">
        <v>182</v>
      </c>
      <c r="F69" s="17">
        <v>20.537</v>
      </c>
      <c r="G69" s="17">
        <v>0</v>
      </c>
      <c r="H69" s="17">
        <f t="shared" si="40"/>
        <v>0</v>
      </c>
      <c r="I69" s="17">
        <f t="shared" si="41"/>
        <v>0</v>
      </c>
      <c r="J69" s="17">
        <f t="shared" si="42"/>
        <v>0</v>
      </c>
      <c r="K69" s="17">
        <v>0</v>
      </c>
      <c r="L69" s="17">
        <f t="shared" si="43"/>
        <v>0</v>
      </c>
      <c r="M69" s="31" t="s">
        <v>281</v>
      </c>
      <c r="P69" s="34">
        <f t="shared" si="44"/>
        <v>0</v>
      </c>
      <c r="R69" s="34">
        <f t="shared" si="45"/>
        <v>0</v>
      </c>
      <c r="S69" s="34">
        <f t="shared" si="46"/>
        <v>0</v>
      </c>
      <c r="T69" s="34">
        <f t="shared" si="47"/>
        <v>0</v>
      </c>
      <c r="U69" s="34">
        <f t="shared" si="48"/>
        <v>0</v>
      </c>
      <c r="V69" s="34">
        <f t="shared" si="49"/>
        <v>0</v>
      </c>
      <c r="W69" s="34">
        <f t="shared" si="50"/>
        <v>0</v>
      </c>
      <c r="X69" s="34">
        <f t="shared" si="51"/>
        <v>0</v>
      </c>
      <c r="Y69" s="26"/>
      <c r="Z69" s="17">
        <f t="shared" si="52"/>
        <v>0</v>
      </c>
      <c r="AA69" s="17">
        <f t="shared" si="53"/>
        <v>0</v>
      </c>
      <c r="AB69" s="17">
        <f t="shared" si="54"/>
        <v>0</v>
      </c>
      <c r="AD69" s="34">
        <v>21</v>
      </c>
      <c r="AE69" s="34">
        <f t="shared" si="55"/>
        <v>0</v>
      </c>
      <c r="AF69" s="34">
        <f t="shared" si="56"/>
        <v>0</v>
      </c>
      <c r="AG69" s="31" t="s">
        <v>11</v>
      </c>
      <c r="AM69" s="34">
        <f t="shared" si="57"/>
        <v>0</v>
      </c>
      <c r="AN69" s="34">
        <f t="shared" si="58"/>
        <v>0</v>
      </c>
      <c r="AO69" s="35" t="s">
        <v>225</v>
      </c>
      <c r="AP69" s="35" t="s">
        <v>234</v>
      </c>
      <c r="AQ69" s="26" t="s">
        <v>235</v>
      </c>
      <c r="AS69" s="34">
        <f t="shared" si="59"/>
        <v>0</v>
      </c>
      <c r="AT69" s="34">
        <f t="shared" si="60"/>
        <v>0</v>
      </c>
      <c r="AU69" s="34">
        <v>0</v>
      </c>
      <c r="AV69" s="34">
        <f t="shared" si="61"/>
        <v>0</v>
      </c>
    </row>
    <row r="70" spans="1:48" ht="12.75">
      <c r="A70" s="5" t="s">
        <v>51</v>
      </c>
      <c r="B70" s="5"/>
      <c r="C70" s="5" t="s">
        <v>112</v>
      </c>
      <c r="D70" s="5" t="s">
        <v>171</v>
      </c>
      <c r="E70" s="5" t="s">
        <v>182</v>
      </c>
      <c r="F70" s="17">
        <v>1642.96</v>
      </c>
      <c r="G70" s="17">
        <v>0</v>
      </c>
      <c r="H70" s="17">
        <f t="shared" si="40"/>
        <v>0</v>
      </c>
      <c r="I70" s="17">
        <f t="shared" si="41"/>
        <v>0</v>
      </c>
      <c r="J70" s="17">
        <f t="shared" si="42"/>
        <v>0</v>
      </c>
      <c r="K70" s="17">
        <v>0</v>
      </c>
      <c r="L70" s="17">
        <f t="shared" si="43"/>
        <v>0</v>
      </c>
      <c r="M70" s="31" t="s">
        <v>281</v>
      </c>
      <c r="P70" s="34">
        <f t="shared" si="44"/>
        <v>0</v>
      </c>
      <c r="R70" s="34">
        <f t="shared" si="45"/>
        <v>0</v>
      </c>
      <c r="S70" s="34">
        <f t="shared" si="46"/>
        <v>0</v>
      </c>
      <c r="T70" s="34">
        <f t="shared" si="47"/>
        <v>0</v>
      </c>
      <c r="U70" s="34">
        <f t="shared" si="48"/>
        <v>0</v>
      </c>
      <c r="V70" s="34">
        <f t="shared" si="49"/>
        <v>0</v>
      </c>
      <c r="W70" s="34">
        <f t="shared" si="50"/>
        <v>0</v>
      </c>
      <c r="X70" s="34">
        <f t="shared" si="51"/>
        <v>0</v>
      </c>
      <c r="Y70" s="26"/>
      <c r="Z70" s="17">
        <f t="shared" si="52"/>
        <v>0</v>
      </c>
      <c r="AA70" s="17">
        <f t="shared" si="53"/>
        <v>0</v>
      </c>
      <c r="AB70" s="17">
        <f t="shared" si="54"/>
        <v>0</v>
      </c>
      <c r="AD70" s="34">
        <v>21</v>
      </c>
      <c r="AE70" s="34">
        <f t="shared" si="55"/>
        <v>0</v>
      </c>
      <c r="AF70" s="34">
        <f t="shared" si="56"/>
        <v>0</v>
      </c>
      <c r="AG70" s="31" t="s">
        <v>11</v>
      </c>
      <c r="AM70" s="34">
        <f t="shared" si="57"/>
        <v>0</v>
      </c>
      <c r="AN70" s="34">
        <f t="shared" si="58"/>
        <v>0</v>
      </c>
      <c r="AO70" s="35" t="s">
        <v>225</v>
      </c>
      <c r="AP70" s="35" t="s">
        <v>234</v>
      </c>
      <c r="AQ70" s="26" t="s">
        <v>235</v>
      </c>
      <c r="AS70" s="34">
        <f t="shared" si="59"/>
        <v>0</v>
      </c>
      <c r="AT70" s="34">
        <f t="shared" si="60"/>
        <v>0</v>
      </c>
      <c r="AU70" s="34">
        <v>0</v>
      </c>
      <c r="AV70" s="34">
        <f t="shared" si="61"/>
        <v>0</v>
      </c>
    </row>
    <row r="71" spans="1:48" ht="12.75">
      <c r="A71" s="5" t="s">
        <v>52</v>
      </c>
      <c r="B71" s="5"/>
      <c r="C71" s="5" t="s">
        <v>113</v>
      </c>
      <c r="D71" s="5" t="s">
        <v>172</v>
      </c>
      <c r="E71" s="5" t="s">
        <v>182</v>
      </c>
      <c r="F71" s="17">
        <v>20.537</v>
      </c>
      <c r="G71" s="17">
        <v>0</v>
      </c>
      <c r="H71" s="17">
        <f t="shared" si="40"/>
        <v>0</v>
      </c>
      <c r="I71" s="17">
        <f t="shared" si="41"/>
        <v>0</v>
      </c>
      <c r="J71" s="17">
        <f t="shared" si="42"/>
        <v>0</v>
      </c>
      <c r="K71" s="17">
        <v>0</v>
      </c>
      <c r="L71" s="17">
        <f t="shared" si="43"/>
        <v>0</v>
      </c>
      <c r="M71" s="31" t="s">
        <v>281</v>
      </c>
      <c r="P71" s="34">
        <f t="shared" si="44"/>
        <v>0</v>
      </c>
      <c r="R71" s="34">
        <f t="shared" si="45"/>
        <v>0</v>
      </c>
      <c r="S71" s="34">
        <f t="shared" si="46"/>
        <v>0</v>
      </c>
      <c r="T71" s="34">
        <f t="shared" si="47"/>
        <v>0</v>
      </c>
      <c r="U71" s="34">
        <f t="shared" si="48"/>
        <v>0</v>
      </c>
      <c r="V71" s="34">
        <f t="shared" si="49"/>
        <v>0</v>
      </c>
      <c r="W71" s="34">
        <f t="shared" si="50"/>
        <v>0</v>
      </c>
      <c r="X71" s="34">
        <f t="shared" si="51"/>
        <v>0</v>
      </c>
      <c r="Y71" s="26"/>
      <c r="Z71" s="17">
        <f t="shared" si="52"/>
        <v>0</v>
      </c>
      <c r="AA71" s="17">
        <f t="shared" si="53"/>
        <v>0</v>
      </c>
      <c r="AB71" s="17">
        <f t="shared" si="54"/>
        <v>0</v>
      </c>
      <c r="AD71" s="34">
        <v>21</v>
      </c>
      <c r="AE71" s="34">
        <f t="shared" si="55"/>
        <v>0</v>
      </c>
      <c r="AF71" s="34">
        <f t="shared" si="56"/>
        <v>0</v>
      </c>
      <c r="AG71" s="31" t="s">
        <v>11</v>
      </c>
      <c r="AM71" s="34">
        <f t="shared" si="57"/>
        <v>0</v>
      </c>
      <c r="AN71" s="34">
        <f t="shared" si="58"/>
        <v>0</v>
      </c>
      <c r="AO71" s="35" t="s">
        <v>225</v>
      </c>
      <c r="AP71" s="35" t="s">
        <v>234</v>
      </c>
      <c r="AQ71" s="26" t="s">
        <v>235</v>
      </c>
      <c r="AS71" s="34">
        <f t="shared" si="59"/>
        <v>0</v>
      </c>
      <c r="AT71" s="34">
        <f t="shared" si="60"/>
        <v>0</v>
      </c>
      <c r="AU71" s="34">
        <v>0</v>
      </c>
      <c r="AV71" s="34">
        <f t="shared" si="61"/>
        <v>0</v>
      </c>
    </row>
    <row r="72" spans="1:48" ht="12.75">
      <c r="A72" s="8" t="s">
        <v>53</v>
      </c>
      <c r="B72" s="8"/>
      <c r="C72" s="8" t="s">
        <v>114</v>
      </c>
      <c r="D72" s="8" t="s">
        <v>173</v>
      </c>
      <c r="E72" s="8" t="s">
        <v>182</v>
      </c>
      <c r="F72" s="19">
        <v>20.537</v>
      </c>
      <c r="G72" s="19">
        <v>0</v>
      </c>
      <c r="H72" s="19">
        <f t="shared" si="40"/>
        <v>0</v>
      </c>
      <c r="I72" s="19">
        <f t="shared" si="41"/>
        <v>0</v>
      </c>
      <c r="J72" s="19">
        <f t="shared" si="42"/>
        <v>0</v>
      </c>
      <c r="K72" s="19">
        <v>0</v>
      </c>
      <c r="L72" s="19">
        <f t="shared" si="43"/>
        <v>0</v>
      </c>
      <c r="M72" s="31" t="s">
        <v>281</v>
      </c>
      <c r="P72" s="34">
        <f t="shared" si="44"/>
        <v>0</v>
      </c>
      <c r="R72" s="34">
        <f t="shared" si="45"/>
        <v>0</v>
      </c>
      <c r="S72" s="34">
        <f t="shared" si="46"/>
        <v>0</v>
      </c>
      <c r="T72" s="34">
        <f t="shared" si="47"/>
        <v>0</v>
      </c>
      <c r="U72" s="34">
        <f t="shared" si="48"/>
        <v>0</v>
      </c>
      <c r="V72" s="34">
        <f t="shared" si="49"/>
        <v>0</v>
      </c>
      <c r="W72" s="34">
        <f t="shared" si="50"/>
        <v>0</v>
      </c>
      <c r="X72" s="34">
        <f t="shared" si="51"/>
        <v>0</v>
      </c>
      <c r="Y72" s="26"/>
      <c r="Z72" s="17">
        <f t="shared" si="52"/>
        <v>0</v>
      </c>
      <c r="AA72" s="17">
        <f t="shared" si="53"/>
        <v>0</v>
      </c>
      <c r="AB72" s="17">
        <f t="shared" si="54"/>
        <v>0</v>
      </c>
      <c r="AD72" s="34">
        <v>21</v>
      </c>
      <c r="AE72" s="34">
        <f t="shared" si="55"/>
        <v>0</v>
      </c>
      <c r="AF72" s="34">
        <f t="shared" si="56"/>
        <v>0</v>
      </c>
      <c r="AG72" s="31" t="s">
        <v>11</v>
      </c>
      <c r="AM72" s="34">
        <f t="shared" si="57"/>
        <v>0</v>
      </c>
      <c r="AN72" s="34">
        <f t="shared" si="58"/>
        <v>0</v>
      </c>
      <c r="AO72" s="35" t="s">
        <v>225</v>
      </c>
      <c r="AP72" s="35" t="s">
        <v>234</v>
      </c>
      <c r="AQ72" s="26" t="s">
        <v>235</v>
      </c>
      <c r="AS72" s="34">
        <f t="shared" si="59"/>
        <v>0</v>
      </c>
      <c r="AT72" s="34">
        <f t="shared" si="60"/>
        <v>0</v>
      </c>
      <c r="AU72" s="34">
        <v>0</v>
      </c>
      <c r="AV72" s="34">
        <f t="shared" si="61"/>
        <v>0</v>
      </c>
    </row>
    <row r="73" spans="1:13" ht="12.75">
      <c r="A73" s="9"/>
      <c r="B73" s="9"/>
      <c r="C73" s="9"/>
      <c r="D73" s="9"/>
      <c r="E73" s="9"/>
      <c r="F73" s="9"/>
      <c r="G73" s="9"/>
      <c r="H73" s="74" t="s">
        <v>192</v>
      </c>
      <c r="I73" s="75"/>
      <c r="J73" s="38">
        <f>ROUND(J12+J14+J16+J22+J29+J33+J35+J39+J41+J45+J56+J61+J64+J66,0)</f>
        <v>0</v>
      </c>
      <c r="K73" s="9"/>
      <c r="L73" s="9"/>
      <c r="M73" s="9"/>
    </row>
    <row r="74" ht="11.25" customHeight="1">
      <c r="A74" s="10" t="s">
        <v>54</v>
      </c>
    </row>
    <row r="75" spans="1:13" ht="12.75">
      <c r="A75" s="69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</sheetData>
  <sheetProtection/>
  <mergeCells count="29">
    <mergeCell ref="H10:J10"/>
    <mergeCell ref="K10:L10"/>
    <mergeCell ref="H73:I73"/>
    <mergeCell ref="A75:M75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0" customHeight="1">
      <c r="A1" s="54"/>
      <c r="B1" s="39"/>
      <c r="C1" s="79" t="s">
        <v>251</v>
      </c>
      <c r="D1" s="80"/>
      <c r="E1" s="80"/>
      <c r="F1" s="80"/>
      <c r="G1" s="80"/>
      <c r="H1" s="80"/>
      <c r="I1" s="80"/>
    </row>
    <row r="2" spans="1:10" ht="12.75">
      <c r="A2" s="58" t="s">
        <v>1</v>
      </c>
      <c r="B2" s="59"/>
      <c r="C2" s="62" t="str">
        <f>'Stavební rozpočet'!D2</f>
        <v>Umývárna jídlonosičů a obnovení garáže</v>
      </c>
      <c r="D2" s="75"/>
      <c r="E2" s="65" t="s">
        <v>193</v>
      </c>
      <c r="F2" s="65" t="str">
        <f>'Stavební rozpočet'!J2</f>
        <v>Město Kutná Hora</v>
      </c>
      <c r="G2" s="59"/>
      <c r="H2" s="65" t="s">
        <v>276</v>
      </c>
      <c r="I2" s="81"/>
      <c r="J2" s="1"/>
    </row>
    <row r="3" spans="1:10" ht="12.75">
      <c r="A3" s="60"/>
      <c r="B3" s="61"/>
      <c r="C3" s="63"/>
      <c r="D3" s="63"/>
      <c r="E3" s="61"/>
      <c r="F3" s="61"/>
      <c r="G3" s="61"/>
      <c r="H3" s="61"/>
      <c r="I3" s="67"/>
      <c r="J3" s="1"/>
    </row>
    <row r="4" spans="1:10" ht="12.75">
      <c r="A4" s="68" t="s">
        <v>2</v>
      </c>
      <c r="B4" s="61"/>
      <c r="C4" s="69" t="str">
        <f>'Stavební rozpočet'!D4</f>
        <v>Rekonstrukce</v>
      </c>
      <c r="D4" s="61"/>
      <c r="E4" s="69" t="s">
        <v>194</v>
      </c>
      <c r="F4" s="69" t="str">
        <f>'Stavební rozpočet'!J4</f>
        <v>Ing.Arch.Jarmila Cetkovská</v>
      </c>
      <c r="G4" s="61"/>
      <c r="H4" s="69" t="s">
        <v>276</v>
      </c>
      <c r="I4" s="82"/>
      <c r="J4" s="1"/>
    </row>
    <row r="5" spans="1:10" ht="12.75">
      <c r="A5" s="60"/>
      <c r="B5" s="61"/>
      <c r="C5" s="61"/>
      <c r="D5" s="61"/>
      <c r="E5" s="61"/>
      <c r="F5" s="61"/>
      <c r="G5" s="61"/>
      <c r="H5" s="61"/>
      <c r="I5" s="67"/>
      <c r="J5" s="1"/>
    </row>
    <row r="6" spans="1:10" ht="12.75">
      <c r="A6" s="68" t="s">
        <v>3</v>
      </c>
      <c r="B6" s="61"/>
      <c r="C6" s="69" t="str">
        <f>'Stavební rozpočet'!D6</f>
        <v>Pirknerovo náměstí 202, Kutná Hora</v>
      </c>
      <c r="D6" s="61"/>
      <c r="E6" s="69" t="s">
        <v>195</v>
      </c>
      <c r="F6" s="69" t="str">
        <f>'Stavební rozpočet'!J6</f>
        <v> </v>
      </c>
      <c r="G6" s="61"/>
      <c r="H6" s="69" t="s">
        <v>276</v>
      </c>
      <c r="I6" s="82"/>
      <c r="J6" s="1"/>
    </row>
    <row r="7" spans="1:10" ht="12.75">
      <c r="A7" s="60"/>
      <c r="B7" s="61"/>
      <c r="C7" s="61"/>
      <c r="D7" s="61"/>
      <c r="E7" s="61"/>
      <c r="F7" s="61"/>
      <c r="G7" s="61"/>
      <c r="H7" s="61"/>
      <c r="I7" s="67"/>
      <c r="J7" s="1"/>
    </row>
    <row r="8" spans="1:10" ht="12.75">
      <c r="A8" s="68" t="s">
        <v>175</v>
      </c>
      <c r="B8" s="61"/>
      <c r="C8" s="69" t="str">
        <f>'Stavební rozpočet'!G4</f>
        <v> </v>
      </c>
      <c r="D8" s="61"/>
      <c r="E8" s="69" t="s">
        <v>176</v>
      </c>
      <c r="F8" s="69" t="str">
        <f>'Stavební rozpočet'!G6</f>
        <v> </v>
      </c>
      <c r="G8" s="61"/>
      <c r="H8" s="70" t="s">
        <v>277</v>
      </c>
      <c r="I8" s="82" t="s">
        <v>53</v>
      </c>
      <c r="J8" s="1"/>
    </row>
    <row r="9" spans="1:10" ht="12.75">
      <c r="A9" s="60"/>
      <c r="B9" s="61"/>
      <c r="C9" s="61"/>
      <c r="D9" s="61"/>
      <c r="E9" s="61"/>
      <c r="F9" s="61"/>
      <c r="G9" s="61"/>
      <c r="H9" s="61"/>
      <c r="I9" s="67"/>
      <c r="J9" s="1"/>
    </row>
    <row r="10" spans="1:10" ht="12.75">
      <c r="A10" s="68" t="s">
        <v>4</v>
      </c>
      <c r="B10" s="61"/>
      <c r="C10" s="69" t="str">
        <f>'Stavební rozpočet'!D8</f>
        <v> </v>
      </c>
      <c r="D10" s="61"/>
      <c r="E10" s="69" t="s">
        <v>196</v>
      </c>
      <c r="F10" s="69" t="str">
        <f>'Stavební rozpočet'!J8</f>
        <v>Milan Kořínek</v>
      </c>
      <c r="G10" s="61"/>
      <c r="H10" s="70" t="s">
        <v>278</v>
      </c>
      <c r="I10" s="85" t="str">
        <f>'Stavební rozpočet'!G8</f>
        <v>25.01.2018</v>
      </c>
      <c r="J10" s="1"/>
    </row>
    <row r="11" spans="1:10" ht="12.75">
      <c r="A11" s="83"/>
      <c r="B11" s="84"/>
      <c r="C11" s="84"/>
      <c r="D11" s="84"/>
      <c r="E11" s="84"/>
      <c r="F11" s="84"/>
      <c r="G11" s="84"/>
      <c r="H11" s="84"/>
      <c r="I11" s="86"/>
      <c r="J11" s="1"/>
    </row>
    <row r="12" spans="1:9" ht="23.25" customHeight="1">
      <c r="A12" s="87" t="s">
        <v>236</v>
      </c>
      <c r="B12" s="88"/>
      <c r="C12" s="88"/>
      <c r="D12" s="88"/>
      <c r="E12" s="88"/>
      <c r="F12" s="88"/>
      <c r="G12" s="88"/>
      <c r="H12" s="88"/>
      <c r="I12" s="88"/>
    </row>
    <row r="13" spans="1:10" ht="26.25" customHeight="1">
      <c r="A13" s="41" t="s">
        <v>237</v>
      </c>
      <c r="B13" s="89" t="s">
        <v>249</v>
      </c>
      <c r="C13" s="90"/>
      <c r="D13" s="41" t="s">
        <v>252</v>
      </c>
      <c r="E13" s="89" t="s">
        <v>261</v>
      </c>
      <c r="F13" s="90"/>
      <c r="G13" s="41" t="s">
        <v>262</v>
      </c>
      <c r="H13" s="89" t="s">
        <v>279</v>
      </c>
      <c r="I13" s="90"/>
      <c r="J13" s="1"/>
    </row>
    <row r="14" spans="1:10" ht="15" customHeight="1">
      <c r="A14" s="42" t="s">
        <v>238</v>
      </c>
      <c r="B14" s="46" t="s">
        <v>250</v>
      </c>
      <c r="C14" s="48">
        <f>SUM('Stavební rozpočet'!R12:R72)</f>
        <v>0</v>
      </c>
      <c r="D14" s="91" t="s">
        <v>253</v>
      </c>
      <c r="E14" s="92"/>
      <c r="F14" s="48">
        <v>0</v>
      </c>
      <c r="G14" s="91" t="s">
        <v>263</v>
      </c>
      <c r="H14" s="92"/>
      <c r="I14" s="48">
        <v>0</v>
      </c>
      <c r="J14" s="1"/>
    </row>
    <row r="15" spans="1:10" ht="15" customHeight="1">
      <c r="A15" s="43"/>
      <c r="B15" s="46" t="s">
        <v>197</v>
      </c>
      <c r="C15" s="48">
        <f>SUM('Stavební rozpočet'!S12:S72)</f>
        <v>0</v>
      </c>
      <c r="D15" s="91" t="s">
        <v>254</v>
      </c>
      <c r="E15" s="92"/>
      <c r="F15" s="48">
        <v>0</v>
      </c>
      <c r="G15" s="91" t="s">
        <v>264</v>
      </c>
      <c r="H15" s="92"/>
      <c r="I15" s="48">
        <v>0</v>
      </c>
      <c r="J15" s="1"/>
    </row>
    <row r="16" spans="1:10" ht="15" customHeight="1">
      <c r="A16" s="42" t="s">
        <v>239</v>
      </c>
      <c r="B16" s="46" t="s">
        <v>250</v>
      </c>
      <c r="C16" s="48">
        <f>SUM('Stavební rozpočet'!T12:T72)</f>
        <v>0</v>
      </c>
      <c r="D16" s="91" t="s">
        <v>255</v>
      </c>
      <c r="E16" s="92"/>
      <c r="F16" s="48">
        <v>0</v>
      </c>
      <c r="G16" s="91" t="s">
        <v>265</v>
      </c>
      <c r="H16" s="92"/>
      <c r="I16" s="48">
        <v>0</v>
      </c>
      <c r="J16" s="1"/>
    </row>
    <row r="17" spans="1:10" ht="15" customHeight="1">
      <c r="A17" s="43"/>
      <c r="B17" s="46" t="s">
        <v>197</v>
      </c>
      <c r="C17" s="48">
        <f>SUM('Stavební rozpočet'!U12:U72)</f>
        <v>0</v>
      </c>
      <c r="D17" s="91"/>
      <c r="E17" s="92"/>
      <c r="F17" s="49"/>
      <c r="G17" s="91" t="s">
        <v>266</v>
      </c>
      <c r="H17" s="92"/>
      <c r="I17" s="48">
        <v>0</v>
      </c>
      <c r="J17" s="1"/>
    </row>
    <row r="18" spans="1:10" ht="15" customHeight="1">
      <c r="A18" s="42" t="s">
        <v>240</v>
      </c>
      <c r="B18" s="46" t="s">
        <v>250</v>
      </c>
      <c r="C18" s="48">
        <f>SUM('Stavební rozpočet'!V12:V72)</f>
        <v>0</v>
      </c>
      <c r="D18" s="91"/>
      <c r="E18" s="92"/>
      <c r="F18" s="49"/>
      <c r="G18" s="91" t="s">
        <v>267</v>
      </c>
      <c r="H18" s="92"/>
      <c r="I18" s="48">
        <v>0</v>
      </c>
      <c r="J18" s="1"/>
    </row>
    <row r="19" spans="1:10" ht="15" customHeight="1">
      <c r="A19" s="43"/>
      <c r="B19" s="46" t="s">
        <v>197</v>
      </c>
      <c r="C19" s="48">
        <f>SUM('Stavební rozpočet'!W12:W72)</f>
        <v>0</v>
      </c>
      <c r="D19" s="91"/>
      <c r="E19" s="92"/>
      <c r="F19" s="49"/>
      <c r="G19" s="91" t="s">
        <v>268</v>
      </c>
      <c r="H19" s="92"/>
      <c r="I19" s="48">
        <v>0</v>
      </c>
      <c r="J19" s="1"/>
    </row>
    <row r="20" spans="1:10" ht="15" customHeight="1">
      <c r="A20" s="93" t="s">
        <v>241</v>
      </c>
      <c r="B20" s="94"/>
      <c r="C20" s="48">
        <f>SUM('Stavební rozpočet'!X12:X72)</f>
        <v>0</v>
      </c>
      <c r="D20" s="91"/>
      <c r="E20" s="92"/>
      <c r="F20" s="49"/>
      <c r="G20" s="91"/>
      <c r="H20" s="92"/>
      <c r="I20" s="49"/>
      <c r="J20" s="1"/>
    </row>
    <row r="21" spans="1:10" ht="15" customHeight="1">
      <c r="A21" s="93" t="s">
        <v>242</v>
      </c>
      <c r="B21" s="94"/>
      <c r="C21" s="48">
        <f>SUM('Stavební rozpočet'!P12:P72)</f>
        <v>0</v>
      </c>
      <c r="D21" s="91"/>
      <c r="E21" s="92"/>
      <c r="F21" s="49"/>
      <c r="G21" s="91"/>
      <c r="H21" s="92"/>
      <c r="I21" s="49"/>
      <c r="J21" s="1"/>
    </row>
    <row r="22" spans="1:10" ht="16.5" customHeight="1">
      <c r="A22" s="93" t="s">
        <v>243</v>
      </c>
      <c r="B22" s="94"/>
      <c r="C22" s="48">
        <f>ROUND(SUM(C14:C21),0)</f>
        <v>0</v>
      </c>
      <c r="D22" s="93" t="s">
        <v>256</v>
      </c>
      <c r="E22" s="94"/>
      <c r="F22" s="48">
        <f>SUM(F14:F21)</f>
        <v>0</v>
      </c>
      <c r="G22" s="93" t="s">
        <v>269</v>
      </c>
      <c r="H22" s="94"/>
      <c r="I22" s="48">
        <f>SUM(I14:I21)</f>
        <v>0</v>
      </c>
      <c r="J22" s="1"/>
    </row>
    <row r="23" spans="1:10" ht="15" customHeight="1">
      <c r="A23" s="9"/>
      <c r="B23" s="9"/>
      <c r="C23" s="27"/>
      <c r="D23" s="93" t="s">
        <v>257</v>
      </c>
      <c r="E23" s="94"/>
      <c r="F23" s="50">
        <v>0</v>
      </c>
      <c r="G23" s="93" t="s">
        <v>270</v>
      </c>
      <c r="H23" s="94"/>
      <c r="I23" s="48">
        <v>0</v>
      </c>
      <c r="J23" s="1"/>
    </row>
    <row r="24" spans="4:9" ht="15" customHeight="1">
      <c r="D24" s="9"/>
      <c r="E24" s="9"/>
      <c r="F24" s="51"/>
      <c r="G24" s="93" t="s">
        <v>271</v>
      </c>
      <c r="H24" s="94"/>
      <c r="I24" s="52"/>
    </row>
    <row r="25" spans="6:10" ht="15" customHeight="1">
      <c r="F25" s="28"/>
      <c r="G25" s="93" t="s">
        <v>272</v>
      </c>
      <c r="H25" s="94"/>
      <c r="I25" s="48">
        <v>0</v>
      </c>
      <c r="J25" s="1"/>
    </row>
    <row r="26" spans="1:9" ht="12.75">
      <c r="A26" s="39"/>
      <c r="B26" s="39"/>
      <c r="C26" s="39"/>
      <c r="G26" s="9"/>
      <c r="H26" s="9"/>
      <c r="I26" s="9"/>
    </row>
    <row r="27" spans="1:9" ht="15" customHeight="1">
      <c r="A27" s="95" t="s">
        <v>244</v>
      </c>
      <c r="B27" s="96"/>
      <c r="C27" s="53">
        <f>ROUND(SUM('Stavební rozpočet'!Z12:Z72),0)</f>
        <v>0</v>
      </c>
      <c r="D27" s="40"/>
      <c r="E27" s="39"/>
      <c r="F27" s="39"/>
      <c r="G27" s="39"/>
      <c r="H27" s="39"/>
      <c r="I27" s="39"/>
    </row>
    <row r="28" spans="1:10" ht="15" customHeight="1">
      <c r="A28" s="95" t="s">
        <v>245</v>
      </c>
      <c r="B28" s="96"/>
      <c r="C28" s="53">
        <f>ROUND(SUM('Stavební rozpočet'!AA12:AA72),0)</f>
        <v>0</v>
      </c>
      <c r="D28" s="95" t="s">
        <v>258</v>
      </c>
      <c r="E28" s="96"/>
      <c r="F28" s="53">
        <f>ROUND(C28*(15/100),2)</f>
        <v>0</v>
      </c>
      <c r="G28" s="95" t="s">
        <v>273</v>
      </c>
      <c r="H28" s="96"/>
      <c r="I28" s="53">
        <f>ROUND(SUM(C27:C29),0)</f>
        <v>0</v>
      </c>
      <c r="J28" s="1"/>
    </row>
    <row r="29" spans="1:10" ht="15" customHeight="1">
      <c r="A29" s="95" t="s">
        <v>246</v>
      </c>
      <c r="B29" s="96"/>
      <c r="C29" s="53">
        <f>ROUND(SUM('Stavební rozpočet'!AB12:AB72)+(F22+I22+F23+I23+I24+I25),0)</f>
        <v>0</v>
      </c>
      <c r="D29" s="95" t="s">
        <v>259</v>
      </c>
      <c r="E29" s="96"/>
      <c r="F29" s="53">
        <f>ROUND(C29*(21/100),2)</f>
        <v>0</v>
      </c>
      <c r="G29" s="95" t="s">
        <v>274</v>
      </c>
      <c r="H29" s="96"/>
      <c r="I29" s="53">
        <f>ROUND(SUM(F28:F29)+I28,0)</f>
        <v>0</v>
      </c>
      <c r="J29" s="1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97" t="s">
        <v>247</v>
      </c>
      <c r="B31" s="98"/>
      <c r="C31" s="99"/>
      <c r="D31" s="97" t="s">
        <v>260</v>
      </c>
      <c r="E31" s="98"/>
      <c r="F31" s="99"/>
      <c r="G31" s="97" t="s">
        <v>275</v>
      </c>
      <c r="H31" s="98"/>
      <c r="I31" s="99"/>
      <c r="J31" s="33"/>
    </row>
    <row r="32" spans="1:10" ht="14.25" customHeight="1">
      <c r="A32" s="100"/>
      <c r="B32" s="101"/>
      <c r="C32" s="102"/>
      <c r="D32" s="100"/>
      <c r="E32" s="101"/>
      <c r="F32" s="102"/>
      <c r="G32" s="100"/>
      <c r="H32" s="101"/>
      <c r="I32" s="102"/>
      <c r="J32" s="33"/>
    </row>
    <row r="33" spans="1:10" ht="14.25" customHeight="1">
      <c r="A33" s="100"/>
      <c r="B33" s="101"/>
      <c r="C33" s="102"/>
      <c r="D33" s="100"/>
      <c r="E33" s="101"/>
      <c r="F33" s="102"/>
      <c r="G33" s="100"/>
      <c r="H33" s="101"/>
      <c r="I33" s="102"/>
      <c r="J33" s="33"/>
    </row>
    <row r="34" spans="1:10" ht="14.25" customHeight="1">
      <c r="A34" s="100"/>
      <c r="B34" s="101"/>
      <c r="C34" s="102"/>
      <c r="D34" s="100"/>
      <c r="E34" s="101"/>
      <c r="F34" s="102"/>
      <c r="G34" s="100"/>
      <c r="H34" s="101"/>
      <c r="I34" s="102"/>
      <c r="J34" s="33"/>
    </row>
    <row r="35" spans="1:10" ht="14.25" customHeight="1">
      <c r="A35" s="103" t="s">
        <v>248</v>
      </c>
      <c r="B35" s="104"/>
      <c r="C35" s="105"/>
      <c r="D35" s="103" t="s">
        <v>248</v>
      </c>
      <c r="E35" s="104"/>
      <c r="F35" s="105"/>
      <c r="G35" s="103" t="s">
        <v>248</v>
      </c>
      <c r="H35" s="104"/>
      <c r="I35" s="105"/>
      <c r="J35" s="33"/>
    </row>
    <row r="36" spans="1:9" ht="11.25" customHeight="1">
      <c r="A36" s="45" t="s">
        <v>54</v>
      </c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69"/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JájaDodo</cp:lastModifiedBy>
  <dcterms:modified xsi:type="dcterms:W3CDTF">2018-01-29T10:53:31Z</dcterms:modified>
  <cp:category/>
  <cp:version/>
  <cp:contentType/>
  <cp:contentStatus/>
</cp:coreProperties>
</file>